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5800" windowHeight="17655"/>
  </bookViews>
  <sheets>
    <sheet name="Esophagus_data" sheetId="2" r:id="rId1"/>
  </sheets>
  <definedNames>
    <definedName name="_xlnm._FilterDatabase" localSheetId="0" hidden="1">Esophagus_data!$A$1:$GH$254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2" l="1"/>
  <c r="BK2" i="2"/>
  <c r="CG2" i="2"/>
  <c r="DB2" i="2"/>
  <c r="DL2" i="2"/>
  <c r="DS2" i="2"/>
  <c r="DW2" i="2"/>
  <c r="DX2" i="2"/>
  <c r="EJ2" i="2" s="1"/>
  <c r="DY2" i="2"/>
  <c r="EA2" i="2"/>
  <c r="ED2" i="2"/>
  <c r="FN2" i="2" s="1"/>
  <c r="FO2" i="2" s="1"/>
  <c r="EL2" i="2"/>
  <c r="EW2" i="2"/>
  <c r="FG2" i="2"/>
  <c r="FH2" i="2" s="1"/>
  <c r="FJ2" i="2"/>
  <c r="FK2" i="2"/>
  <c r="FL2" i="2"/>
  <c r="FM2" i="2"/>
  <c r="FP2" i="2"/>
  <c r="FQ2" i="2"/>
  <c r="FR2" i="2"/>
  <c r="L3" i="2"/>
  <c r="BA3" i="2"/>
  <c r="BD3" i="2"/>
  <c r="BK3" i="2"/>
  <c r="CG3" i="2"/>
  <c r="DB3" i="2"/>
  <c r="DL3" i="2"/>
  <c r="DS3" i="2" s="1"/>
  <c r="DW3" i="2"/>
  <c r="DX3" i="2"/>
  <c r="EJ3" i="2" s="1"/>
  <c r="DY3" i="2"/>
  <c r="EA3" i="2"/>
  <c r="ED3" i="2"/>
  <c r="FM3" i="2" s="1"/>
  <c r="EL3" i="2"/>
  <c r="EW3" i="2"/>
  <c r="FG3" i="2"/>
  <c r="FH3" i="2"/>
  <c r="FJ3" i="2"/>
  <c r="FK3" i="2"/>
  <c r="FL3" i="2"/>
  <c r="FP3" i="2"/>
  <c r="FQ3" i="2"/>
  <c r="FR3" i="2" s="1"/>
  <c r="L4" i="2"/>
  <c r="AS4" i="2"/>
  <c r="BA4" i="2"/>
  <c r="BC4" i="2"/>
  <c r="BK4" i="2"/>
  <c r="CG4" i="2"/>
  <c r="DB4" i="2"/>
  <c r="DL4" i="2"/>
  <c r="EA4" i="2" s="1"/>
  <c r="DS4" i="2"/>
  <c r="DW4" i="2"/>
  <c r="DX4" i="2"/>
  <c r="EJ4" i="2" s="1"/>
  <c r="DY4" i="2"/>
  <c r="ED4" i="2"/>
  <c r="FN4" i="2" s="1"/>
  <c r="FO4" i="2" s="1"/>
  <c r="EL4" i="2"/>
  <c r="EW4" i="2"/>
  <c r="FG4" i="2"/>
  <c r="FH4" i="2" s="1"/>
  <c r="FJ4" i="2"/>
  <c r="FK4" i="2"/>
  <c r="FL4" i="2" s="1"/>
  <c r="FM4" i="2"/>
  <c r="FP4" i="2"/>
  <c r="FQ4" i="2"/>
  <c r="FR4" i="2" s="1"/>
  <c r="L5" i="2"/>
  <c r="AS5" i="2"/>
  <c r="BA5" i="2"/>
  <c r="BC5" i="2"/>
  <c r="BK5" i="2"/>
  <c r="CG5" i="2"/>
  <c r="DB5" i="2"/>
  <c r="DL5" i="2"/>
  <c r="DS5" i="2"/>
  <c r="DW5" i="2"/>
  <c r="DX5" i="2"/>
  <c r="EJ5" i="2" s="1"/>
  <c r="DY5" i="2"/>
  <c r="EA5" i="2"/>
  <c r="ED5" i="2"/>
  <c r="FM5" i="2" s="1"/>
  <c r="EL5" i="2"/>
  <c r="EW5" i="2"/>
  <c r="FG5" i="2"/>
  <c r="FH5" i="2" s="1"/>
  <c r="FJ5" i="2"/>
  <c r="FK5" i="2"/>
  <c r="FL5" i="2" s="1"/>
  <c r="FP5" i="2"/>
  <c r="FQ5" i="2"/>
  <c r="FR5" i="2"/>
  <c r="L6" i="2"/>
  <c r="AS6" i="2"/>
  <c r="BA6" i="2"/>
  <c r="BC6" i="2"/>
  <c r="BD6" i="2"/>
  <c r="BK6" i="2"/>
  <c r="BL6" i="2"/>
  <c r="CG6" i="2"/>
  <c r="DB6" i="2"/>
  <c r="DL6" i="2"/>
  <c r="DS6" i="2"/>
  <c r="DW6" i="2"/>
  <c r="DX6" i="2"/>
  <c r="EJ6" i="2" s="1"/>
  <c r="DY6" i="2"/>
  <c r="EA6" i="2"/>
  <c r="ED6" i="2"/>
  <c r="EE6" i="2"/>
  <c r="FN6" i="2" s="1"/>
  <c r="FO6" i="2" s="1"/>
  <c r="EL6" i="2"/>
  <c r="EW6" i="2"/>
  <c r="FG6" i="2"/>
  <c r="FH6" i="2"/>
  <c r="FJ6" i="2"/>
  <c r="FK6" i="2"/>
  <c r="FL6" i="2"/>
  <c r="FM6" i="2"/>
  <c r="FP6" i="2"/>
  <c r="FQ6" i="2"/>
  <c r="FR6" i="2"/>
  <c r="L7" i="2"/>
  <c r="AS7" i="2"/>
  <c r="BA7" i="2"/>
  <c r="BC7" i="2"/>
  <c r="BK7" i="2"/>
  <c r="CG7" i="2"/>
  <c r="DB7" i="2"/>
  <c r="DL7" i="2"/>
  <c r="DS7" i="2" s="1"/>
  <c r="DW7" i="2"/>
  <c r="DX7" i="2"/>
  <c r="DY7" i="2"/>
  <c r="ED7" i="2"/>
  <c r="EJ7" i="2"/>
  <c r="EW7" i="2"/>
  <c r="FG7" i="2"/>
  <c r="FH7" i="2"/>
  <c r="FJ7" i="2"/>
  <c r="FK7" i="2"/>
  <c r="FL7" i="2"/>
  <c r="FM7" i="2"/>
  <c r="FN7" i="2"/>
  <c r="FO7" i="2" s="1"/>
  <c r="FP7" i="2"/>
  <c r="FQ7" i="2"/>
  <c r="FR7" i="2" s="1"/>
  <c r="L8" i="2"/>
  <c r="AS8" i="2"/>
  <c r="BD8" i="2"/>
  <c r="BK8" i="2"/>
  <c r="CG8" i="2"/>
  <c r="DB8" i="2"/>
  <c r="DL8" i="2"/>
  <c r="DS8" i="2"/>
  <c r="DW8" i="2"/>
  <c r="DX8" i="2"/>
  <c r="DY8" i="2"/>
  <c r="EA8" i="2"/>
  <c r="ED8" i="2"/>
  <c r="FN8" i="2" s="1"/>
  <c r="FO8" i="2" s="1"/>
  <c r="EE8" i="2"/>
  <c r="EJ8" i="2"/>
  <c r="EL8" i="2"/>
  <c r="EW8" i="2"/>
  <c r="FG8" i="2"/>
  <c r="FH8" i="2" s="1"/>
  <c r="FJ8" i="2"/>
  <c r="FK8" i="2"/>
  <c r="FL8" i="2" s="1"/>
  <c r="FM8" i="2"/>
  <c r="FP8" i="2"/>
  <c r="FQ8" i="2"/>
  <c r="FR8" i="2" s="1"/>
  <c r="L9" i="2"/>
  <c r="AS9" i="2"/>
  <c r="BA9" i="2"/>
  <c r="BD9" i="2"/>
  <c r="BK9" i="2"/>
  <c r="CG9" i="2"/>
  <c r="DB9" i="2"/>
  <c r="DL9" i="2"/>
  <c r="EA9" i="2" s="1"/>
  <c r="DS9" i="2"/>
  <c r="DW9" i="2"/>
  <c r="DX9" i="2"/>
  <c r="EJ9" i="2" s="1"/>
  <c r="DY9" i="2"/>
  <c r="ED9" i="2"/>
  <c r="EL9" i="2"/>
  <c r="EW9" i="2"/>
  <c r="FG9" i="2"/>
  <c r="FH9" i="2"/>
  <c r="FJ9" i="2"/>
  <c r="FK9" i="2"/>
  <c r="FL9" i="2"/>
  <c r="FP9" i="2"/>
  <c r="FQ9" i="2"/>
  <c r="FR9" i="2"/>
  <c r="L10" i="2"/>
  <c r="AS10" i="2"/>
  <c r="BA10" i="2"/>
  <c r="BC10" i="2"/>
  <c r="BK10" i="2"/>
  <c r="CG10" i="2"/>
  <c r="DB10" i="2"/>
  <c r="DL10" i="2"/>
  <c r="DS10" i="2" s="1"/>
  <c r="DW10" i="2"/>
  <c r="DX10" i="2"/>
  <c r="DY10" i="2"/>
  <c r="ED10" i="2"/>
  <c r="EJ10" i="2"/>
  <c r="EL10" i="2"/>
  <c r="EW10" i="2"/>
  <c r="FG10" i="2"/>
  <c r="FH10" i="2"/>
  <c r="FJ10" i="2"/>
  <c r="FK10" i="2"/>
  <c r="FL10" i="2"/>
  <c r="FM10" i="2"/>
  <c r="FN10" i="2"/>
  <c r="FO10" i="2"/>
  <c r="FP10" i="2"/>
  <c r="FQ10" i="2"/>
  <c r="FR10" i="2" s="1"/>
  <c r="L11" i="2"/>
  <c r="BA11" i="2"/>
  <c r="BK11" i="2"/>
  <c r="CG11" i="2"/>
  <c r="DB11" i="2"/>
  <c r="DL11" i="2"/>
  <c r="DS11" i="2"/>
  <c r="DW11" i="2"/>
  <c r="DX11" i="2"/>
  <c r="EJ11" i="2" s="1"/>
  <c r="DY11" i="2"/>
  <c r="EA11" i="2"/>
  <c r="ED11" i="2"/>
  <c r="FM11" i="2" s="1"/>
  <c r="EE11" i="2"/>
  <c r="EL11" i="2"/>
  <c r="EW11" i="2"/>
  <c r="FG11" i="2"/>
  <c r="FH11" i="2"/>
  <c r="FJ11" i="2"/>
  <c r="FK11" i="2"/>
  <c r="FL11" i="2" s="1"/>
  <c r="FN11" i="2"/>
  <c r="FO11" i="2" s="1"/>
  <c r="FP11" i="2"/>
  <c r="FQ11" i="2"/>
  <c r="FR11" i="2"/>
  <c r="L12" i="2"/>
  <c r="BA12" i="2"/>
  <c r="BC12" i="2"/>
  <c r="BK12" i="2"/>
  <c r="CG12" i="2"/>
  <c r="DB12" i="2"/>
  <c r="DL12" i="2"/>
  <c r="DS12" i="2"/>
  <c r="DW12" i="2"/>
  <c r="DX12" i="2"/>
  <c r="EJ12" i="2" s="1"/>
  <c r="DY12" i="2"/>
  <c r="EA12" i="2"/>
  <c r="ED12" i="2"/>
  <c r="FN12" i="2" s="1"/>
  <c r="FO12" i="2" s="1"/>
  <c r="EL12" i="2"/>
  <c r="EW12" i="2"/>
  <c r="FG12" i="2"/>
  <c r="FH12" i="2" s="1"/>
  <c r="FJ12" i="2"/>
  <c r="FK12" i="2"/>
  <c r="FL12" i="2" s="1"/>
  <c r="FP12" i="2"/>
  <c r="FQ12" i="2"/>
  <c r="FR12" i="2"/>
  <c r="L13" i="2"/>
  <c r="AS13" i="2"/>
  <c r="BK13" i="2"/>
  <c r="CG13" i="2"/>
  <c r="DB13" i="2"/>
  <c r="DL13" i="2"/>
  <c r="DS13" i="2"/>
  <c r="DW13" i="2"/>
  <c r="DX13" i="2"/>
  <c r="EJ13" i="2" s="1"/>
  <c r="DY13" i="2"/>
  <c r="EA13" i="2"/>
  <c r="ED13" i="2"/>
  <c r="EE13" i="2"/>
  <c r="EL13" i="2"/>
  <c r="EW13" i="2"/>
  <c r="FG13" i="2"/>
  <c r="FH13" i="2" s="1"/>
  <c r="FJ13" i="2"/>
  <c r="FK13" i="2"/>
  <c r="FL13" i="2"/>
  <c r="FP13" i="2"/>
  <c r="FQ13" i="2"/>
  <c r="FR13" i="2" s="1"/>
  <c r="L14" i="2"/>
  <c r="AS14" i="2"/>
  <c r="BC14" i="2"/>
  <c r="BK14" i="2"/>
  <c r="CG14" i="2"/>
  <c r="DB14" i="2"/>
  <c r="DL14" i="2"/>
  <c r="DS14" i="2" s="1"/>
  <c r="DW14" i="2"/>
  <c r="DX14" i="2"/>
  <c r="DY14" i="2"/>
  <c r="ED14" i="2"/>
  <c r="EJ14" i="2"/>
  <c r="EW14" i="2"/>
  <c r="FG14" i="2"/>
  <c r="FH14" i="2"/>
  <c r="FJ14" i="2"/>
  <c r="FK14" i="2"/>
  <c r="FL14" i="2"/>
  <c r="FM14" i="2"/>
  <c r="FN14" i="2"/>
  <c r="FO14" i="2" s="1"/>
  <c r="FP14" i="2"/>
  <c r="FQ14" i="2"/>
  <c r="FR14" i="2" s="1"/>
  <c r="L15" i="2"/>
  <c r="AS15" i="2"/>
  <c r="BK15" i="2"/>
  <c r="CG15" i="2"/>
  <c r="DB15" i="2"/>
  <c r="DL15" i="2"/>
  <c r="DS15" i="2" s="1"/>
  <c r="DW15" i="2"/>
  <c r="DX15" i="2"/>
  <c r="DY15" i="2"/>
  <c r="EA15" i="2"/>
  <c r="ED15" i="2"/>
  <c r="FM15" i="2" s="1"/>
  <c r="EE15" i="2"/>
  <c r="EJ15" i="2"/>
  <c r="EL15" i="2"/>
  <c r="EW15" i="2"/>
  <c r="FG15" i="2"/>
  <c r="FH15" i="2"/>
  <c r="FJ15" i="2"/>
  <c r="FK15" i="2"/>
  <c r="FL15" i="2" s="1"/>
  <c r="FN15" i="2"/>
  <c r="FO15" i="2" s="1"/>
  <c r="FP15" i="2"/>
  <c r="FQ15" i="2"/>
  <c r="FR15" i="2"/>
  <c r="L16" i="2"/>
  <c r="AS16" i="2"/>
  <c r="BA16" i="2"/>
  <c r="BK16" i="2"/>
  <c r="CG16" i="2"/>
  <c r="DB16" i="2"/>
  <c r="DL16" i="2"/>
  <c r="DS16" i="2"/>
  <c r="DW16" i="2"/>
  <c r="DX16" i="2"/>
  <c r="DY16" i="2"/>
  <c r="EA16" i="2"/>
  <c r="ED16" i="2"/>
  <c r="FM16" i="2" s="1"/>
  <c r="EE16" i="2"/>
  <c r="EJ16" i="2"/>
  <c r="EL16" i="2"/>
  <c r="EW16" i="2"/>
  <c r="FG16" i="2"/>
  <c r="FH16" i="2" s="1"/>
  <c r="FJ16" i="2"/>
  <c r="FK16" i="2"/>
  <c r="FL16" i="2"/>
  <c r="FN16" i="2"/>
  <c r="FO16" i="2" s="1"/>
  <c r="FP16" i="2"/>
  <c r="FQ16" i="2"/>
  <c r="FR16" i="2" s="1"/>
  <c r="L17" i="2"/>
  <c r="AS17" i="2"/>
  <c r="BA17" i="2"/>
  <c r="BC17" i="2"/>
  <c r="BK17" i="2"/>
  <c r="CG17" i="2"/>
  <c r="DB17" i="2"/>
  <c r="DL17" i="2"/>
  <c r="DS17" i="2" s="1"/>
  <c r="DW17" i="2"/>
  <c r="DX17" i="2"/>
  <c r="EJ17" i="2" s="1"/>
  <c r="DY17" i="2"/>
  <c r="ED17" i="2"/>
  <c r="EL17" i="2"/>
  <c r="EW17" i="2"/>
  <c r="FG17" i="2"/>
  <c r="FH17" i="2"/>
  <c r="FJ17" i="2"/>
  <c r="FK17" i="2"/>
  <c r="FL17" i="2" s="1"/>
  <c r="FM17" i="2"/>
  <c r="FN17" i="2"/>
  <c r="FO17" i="2"/>
  <c r="FP17" i="2"/>
  <c r="FQ17" i="2"/>
  <c r="FR17" i="2"/>
  <c r="L18" i="2"/>
  <c r="AS18" i="2"/>
  <c r="BK18" i="2"/>
  <c r="CG18" i="2"/>
  <c r="DB18" i="2"/>
  <c r="DL18" i="2"/>
  <c r="EA18" i="2" s="1"/>
  <c r="DS18" i="2"/>
  <c r="DW18" i="2"/>
  <c r="DX18" i="2"/>
  <c r="EJ18" i="2" s="1"/>
  <c r="DY18" i="2"/>
  <c r="ED18" i="2"/>
  <c r="FM18" i="2" s="1"/>
  <c r="EL18" i="2"/>
  <c r="EW18" i="2"/>
  <c r="FG18" i="2"/>
  <c r="FH18" i="2" s="1"/>
  <c r="FJ18" i="2"/>
  <c r="FK18" i="2"/>
  <c r="FL18" i="2" s="1"/>
  <c r="FP18" i="2"/>
  <c r="FQ18" i="2"/>
  <c r="FR18" i="2"/>
  <c r="L19" i="2"/>
  <c r="AS19" i="2"/>
  <c r="BA19" i="2"/>
  <c r="BK19" i="2"/>
  <c r="CG19" i="2"/>
  <c r="DB19" i="2"/>
  <c r="DL19" i="2"/>
  <c r="DS19" i="2" s="1"/>
  <c r="DW19" i="2"/>
  <c r="DX19" i="2"/>
  <c r="EJ19" i="2" s="1"/>
  <c r="DY19" i="2"/>
  <c r="ED19" i="2"/>
  <c r="FN19" i="2" s="1"/>
  <c r="FO19" i="2" s="1"/>
  <c r="EL19" i="2"/>
  <c r="EW19" i="2"/>
  <c r="FG19" i="2"/>
  <c r="FH19" i="2" s="1"/>
  <c r="FJ19" i="2"/>
  <c r="FK19" i="2"/>
  <c r="FL19" i="2" s="1"/>
  <c r="FM19" i="2"/>
  <c r="FP19" i="2"/>
  <c r="FQ19" i="2"/>
  <c r="FR19" i="2" s="1"/>
  <c r="L20" i="2"/>
  <c r="AS20" i="2"/>
  <c r="BK20" i="2"/>
  <c r="CG20" i="2"/>
  <c r="DB20" i="2"/>
  <c r="DL20" i="2"/>
  <c r="DS20" i="2"/>
  <c r="DW20" i="2"/>
  <c r="DX20" i="2"/>
  <c r="EJ20" i="2" s="1"/>
  <c r="DY20" i="2"/>
  <c r="EA20" i="2"/>
  <c r="ED20" i="2"/>
  <c r="FN20" i="2" s="1"/>
  <c r="FO20" i="2" s="1"/>
  <c r="EL20" i="2"/>
  <c r="EW20" i="2"/>
  <c r="FG20" i="2"/>
  <c r="FH20" i="2" s="1"/>
  <c r="FJ20" i="2"/>
  <c r="FK20" i="2"/>
  <c r="FL20" i="2" s="1"/>
  <c r="FP20" i="2"/>
  <c r="FQ20" i="2"/>
  <c r="FR20" i="2"/>
  <c r="L21" i="2"/>
  <c r="AS21" i="2"/>
  <c r="BA21" i="2"/>
  <c r="BC21" i="2"/>
  <c r="BK21" i="2"/>
  <c r="CG21" i="2"/>
  <c r="DB21" i="2"/>
  <c r="DL21" i="2"/>
  <c r="DS21" i="2"/>
  <c r="DW21" i="2"/>
  <c r="DX21" i="2"/>
  <c r="EJ21" i="2" s="1"/>
  <c r="DY21" i="2"/>
  <c r="EA21" i="2"/>
  <c r="ED21" i="2"/>
  <c r="FN21" i="2" s="1"/>
  <c r="FO21" i="2" s="1"/>
  <c r="EE21" i="2"/>
  <c r="EL21" i="2"/>
  <c r="EW21" i="2"/>
  <c r="FG21" i="2"/>
  <c r="FH21" i="2"/>
  <c r="FJ21" i="2"/>
  <c r="FK21" i="2"/>
  <c r="FL21" i="2" s="1"/>
  <c r="FM21" i="2"/>
  <c r="FP21" i="2"/>
  <c r="FQ21" i="2"/>
  <c r="FR21" i="2"/>
  <c r="L22" i="2"/>
  <c r="BA22" i="2"/>
  <c r="BK22" i="2"/>
  <c r="CG22" i="2"/>
  <c r="DB22" i="2"/>
  <c r="DL22" i="2"/>
  <c r="EA22" i="2" s="1"/>
  <c r="DS22" i="2"/>
  <c r="DW22" i="2"/>
  <c r="DX22" i="2"/>
  <c r="EJ22" i="2" s="1"/>
  <c r="DY22" i="2"/>
  <c r="ED22" i="2"/>
  <c r="FM22" i="2" s="1"/>
  <c r="EL22" i="2"/>
  <c r="EW22" i="2"/>
  <c r="FG22" i="2"/>
  <c r="FH22" i="2" s="1"/>
  <c r="FJ22" i="2"/>
  <c r="FK22" i="2"/>
  <c r="FL22" i="2" s="1"/>
  <c r="FP22" i="2"/>
  <c r="FQ22" i="2"/>
  <c r="FR22" i="2"/>
  <c r="L23" i="2"/>
  <c r="AS23" i="2"/>
  <c r="BK23" i="2"/>
  <c r="CG23" i="2"/>
  <c r="DB23" i="2"/>
  <c r="DL23" i="2"/>
  <c r="EA23" i="2" s="1"/>
  <c r="DS23" i="2"/>
  <c r="DW23" i="2"/>
  <c r="DX23" i="2"/>
  <c r="DY23" i="2"/>
  <c r="ED23" i="2"/>
  <c r="FM23" i="2" s="1"/>
  <c r="EJ23" i="2"/>
  <c r="EL23" i="2"/>
  <c r="EW23" i="2"/>
  <c r="FG23" i="2"/>
  <c r="FH23" i="2"/>
  <c r="FJ23" i="2"/>
  <c r="FK23" i="2"/>
  <c r="FL23" i="2" s="1"/>
  <c r="FN23" i="2"/>
  <c r="FO23" i="2" s="1"/>
  <c r="FP23" i="2"/>
  <c r="FQ23" i="2"/>
  <c r="FR23" i="2"/>
  <c r="L24" i="2"/>
  <c r="AS24" i="2"/>
  <c r="BC24" i="2"/>
  <c r="BD24" i="2"/>
  <c r="BK24" i="2"/>
  <c r="CG24" i="2"/>
  <c r="DB24" i="2"/>
  <c r="DL24" i="2"/>
  <c r="EA24" i="2" s="1"/>
  <c r="DW24" i="2"/>
  <c r="DX24" i="2"/>
  <c r="DY24" i="2"/>
  <c r="ED24" i="2"/>
  <c r="EJ24" i="2"/>
  <c r="EW24" i="2"/>
  <c r="FG24" i="2"/>
  <c r="FH24" i="2" s="1"/>
  <c r="FJ24" i="2"/>
  <c r="FK24" i="2"/>
  <c r="FL24" i="2"/>
  <c r="FM24" i="2"/>
  <c r="FN24" i="2"/>
  <c r="FO24" i="2" s="1"/>
  <c r="FP24" i="2"/>
  <c r="FQ24" i="2"/>
  <c r="FR24" i="2" s="1"/>
  <c r="L25" i="2"/>
  <c r="BK25" i="2"/>
  <c r="CG25" i="2"/>
  <c r="DB25" i="2"/>
  <c r="DL25" i="2"/>
  <c r="DS25" i="2"/>
  <c r="DW25" i="2"/>
  <c r="DX25" i="2"/>
  <c r="EJ25" i="2" s="1"/>
  <c r="DY25" i="2"/>
  <c r="EA25" i="2"/>
  <c r="ED25" i="2"/>
  <c r="EL25" i="2"/>
  <c r="EW25" i="2"/>
  <c r="FG25" i="2"/>
  <c r="FH25" i="2"/>
  <c r="FJ25" i="2"/>
  <c r="FK25" i="2"/>
  <c r="FL25" i="2"/>
  <c r="FP25" i="2"/>
  <c r="FQ25" i="2"/>
  <c r="FR25" i="2"/>
  <c r="L26" i="2"/>
  <c r="AS26" i="2"/>
  <c r="BA26" i="2"/>
  <c r="BC26" i="2"/>
  <c r="BK26" i="2"/>
  <c r="CG26" i="2"/>
  <c r="DB26" i="2"/>
  <c r="DL26" i="2"/>
  <c r="DS26" i="2" s="1"/>
  <c r="DW26" i="2"/>
  <c r="DX26" i="2"/>
  <c r="DY26" i="2"/>
  <c r="ED26" i="2"/>
  <c r="EJ26" i="2"/>
  <c r="EW26" i="2"/>
  <c r="FG26" i="2"/>
  <c r="FH26" i="2"/>
  <c r="FJ26" i="2"/>
  <c r="FK26" i="2"/>
  <c r="FL26" i="2"/>
  <c r="FM26" i="2"/>
  <c r="FN26" i="2"/>
  <c r="FO26" i="2" s="1"/>
  <c r="FP26" i="2"/>
  <c r="FQ26" i="2"/>
  <c r="FR26" i="2" s="1"/>
  <c r="L27" i="2"/>
  <c r="AS27" i="2"/>
  <c r="BA27" i="2"/>
  <c r="BC27" i="2"/>
  <c r="BK27" i="2"/>
  <c r="CG27" i="2"/>
  <c r="DB27" i="2"/>
  <c r="DL27" i="2"/>
  <c r="DS27" i="2"/>
  <c r="DW27" i="2"/>
  <c r="DX27" i="2"/>
  <c r="EJ27" i="2" s="1"/>
  <c r="DY27" i="2"/>
  <c r="EA27" i="2"/>
  <c r="ED27" i="2"/>
  <c r="FM27" i="2" s="1"/>
  <c r="EE27" i="2"/>
  <c r="EL27" i="2"/>
  <c r="EW27" i="2"/>
  <c r="FG27" i="2"/>
  <c r="FH27" i="2"/>
  <c r="FJ27" i="2"/>
  <c r="FK27" i="2"/>
  <c r="FL27" i="2"/>
  <c r="FP27" i="2"/>
  <c r="FQ27" i="2"/>
  <c r="FR27" i="2" s="1"/>
  <c r="L28" i="2"/>
  <c r="BA28" i="2"/>
  <c r="BD28" i="2"/>
  <c r="BK28" i="2"/>
  <c r="CG28" i="2"/>
  <c r="DB28" i="2"/>
  <c r="DL28" i="2"/>
  <c r="DS28" i="2"/>
  <c r="DW28" i="2"/>
  <c r="DX28" i="2"/>
  <c r="EJ28" i="2" s="1"/>
  <c r="DY28" i="2"/>
  <c r="EA28" i="2"/>
  <c r="ED28" i="2"/>
  <c r="EL28" i="2"/>
  <c r="EW28" i="2"/>
  <c r="FG28" i="2"/>
  <c r="FH28" i="2"/>
  <c r="FJ28" i="2"/>
  <c r="FK28" i="2"/>
  <c r="FL28" i="2"/>
  <c r="FP28" i="2"/>
  <c r="FQ28" i="2"/>
  <c r="FR28" i="2"/>
  <c r="L29" i="2"/>
  <c r="AS29" i="2"/>
  <c r="BK29" i="2"/>
  <c r="CG29" i="2"/>
  <c r="DB29" i="2"/>
  <c r="DL29" i="2"/>
  <c r="DS29" i="2"/>
  <c r="DW29" i="2"/>
  <c r="DX29" i="2"/>
  <c r="EJ29" i="2" s="1"/>
  <c r="DY29" i="2"/>
  <c r="EA29" i="2"/>
  <c r="ED29" i="2"/>
  <c r="FN29" i="2" s="1"/>
  <c r="FO29" i="2" s="1"/>
  <c r="EE29" i="2"/>
  <c r="EL29" i="2"/>
  <c r="EW29" i="2"/>
  <c r="FG29" i="2"/>
  <c r="FH29" i="2"/>
  <c r="FJ29" i="2"/>
  <c r="FK29" i="2"/>
  <c r="FL29" i="2" s="1"/>
  <c r="FM29" i="2"/>
  <c r="FP29" i="2"/>
  <c r="FQ29" i="2"/>
  <c r="FR29" i="2"/>
  <c r="L30" i="2"/>
  <c r="AS30" i="2"/>
  <c r="BK30" i="2"/>
  <c r="CG30" i="2"/>
  <c r="DB30" i="2"/>
  <c r="DL30" i="2"/>
  <c r="DS30" i="2"/>
  <c r="DW30" i="2"/>
  <c r="DX30" i="2"/>
  <c r="EJ30" i="2" s="1"/>
  <c r="DY30" i="2"/>
  <c r="EA30" i="2"/>
  <c r="ED30" i="2"/>
  <c r="FM30" i="2" s="1"/>
  <c r="EE30" i="2"/>
  <c r="EL30" i="2"/>
  <c r="EW30" i="2"/>
  <c r="FG30" i="2"/>
  <c r="FH30" i="2" s="1"/>
  <c r="FJ30" i="2"/>
  <c r="FK30" i="2"/>
  <c r="FL30" i="2"/>
  <c r="FP30" i="2"/>
  <c r="FQ30" i="2"/>
  <c r="FR30" i="2"/>
  <c r="L31" i="2"/>
  <c r="AS31" i="2"/>
  <c r="BK31" i="2"/>
  <c r="CG31" i="2"/>
  <c r="DB31" i="2"/>
  <c r="DL31" i="2"/>
  <c r="DS31" i="2" s="1"/>
  <c r="DW31" i="2"/>
  <c r="DX31" i="2"/>
  <c r="EJ31" i="2" s="1"/>
  <c r="DY31" i="2"/>
  <c r="ED31" i="2"/>
  <c r="FN31" i="2" s="1"/>
  <c r="FO31" i="2" s="1"/>
  <c r="EL31" i="2"/>
  <c r="EW31" i="2"/>
  <c r="FG31" i="2"/>
  <c r="FH31" i="2" s="1"/>
  <c r="FJ31" i="2"/>
  <c r="FK31" i="2"/>
  <c r="FL31" i="2" s="1"/>
  <c r="FM31" i="2"/>
  <c r="FP31" i="2"/>
  <c r="FQ31" i="2"/>
  <c r="FR31" i="2" s="1"/>
  <c r="L32" i="2"/>
  <c r="AS32" i="2"/>
  <c r="BA32" i="2"/>
  <c r="BK32" i="2"/>
  <c r="CG32" i="2"/>
  <c r="DB32" i="2"/>
  <c r="DL32" i="2"/>
  <c r="EA32" i="2" s="1"/>
  <c r="DW32" i="2"/>
  <c r="DX32" i="2"/>
  <c r="DY32" i="2"/>
  <c r="ED32" i="2"/>
  <c r="EJ32" i="2"/>
  <c r="EW32" i="2"/>
  <c r="FG32" i="2"/>
  <c r="FH32" i="2" s="1"/>
  <c r="FJ32" i="2"/>
  <c r="FK32" i="2"/>
  <c r="FL32" i="2"/>
  <c r="FM32" i="2"/>
  <c r="FN32" i="2"/>
  <c r="FO32" i="2" s="1"/>
  <c r="FP32" i="2"/>
  <c r="FQ32" i="2"/>
  <c r="FR32" i="2" s="1"/>
  <c r="L33" i="2"/>
  <c r="AS33" i="2"/>
  <c r="BA33" i="2"/>
  <c r="BK33" i="2"/>
  <c r="CG33" i="2"/>
  <c r="DB33" i="2"/>
  <c r="DL33" i="2"/>
  <c r="DS33" i="2"/>
  <c r="DW33" i="2"/>
  <c r="DX33" i="2"/>
  <c r="DY33" i="2"/>
  <c r="EA33" i="2"/>
  <c r="ED33" i="2"/>
  <c r="FM33" i="2" s="1"/>
  <c r="EJ33" i="2"/>
  <c r="EL33" i="2"/>
  <c r="EW33" i="2"/>
  <c r="FG33" i="2"/>
  <c r="FH33" i="2"/>
  <c r="FJ33" i="2"/>
  <c r="FK33" i="2"/>
  <c r="FL33" i="2" s="1"/>
  <c r="FN33" i="2"/>
  <c r="FO33" i="2" s="1"/>
  <c r="FP33" i="2"/>
  <c r="FQ33" i="2"/>
  <c r="FR33" i="2" s="1"/>
  <c r="L34" i="2"/>
  <c r="AS34" i="2"/>
  <c r="BA34" i="2"/>
  <c r="BC34" i="2"/>
  <c r="BK34" i="2"/>
  <c r="CG34" i="2"/>
  <c r="DB34" i="2"/>
  <c r="DL34" i="2"/>
  <c r="DW34" i="2"/>
  <c r="DX34" i="2"/>
  <c r="EJ34" i="2" s="1"/>
  <c r="DY34" i="2"/>
  <c r="ED34" i="2"/>
  <c r="FN34" i="2" s="1"/>
  <c r="FO34" i="2" s="1"/>
  <c r="EW34" i="2"/>
  <c r="FG34" i="2"/>
  <c r="FH34" i="2" s="1"/>
  <c r="FJ34" i="2"/>
  <c r="FK34" i="2"/>
  <c r="FL34" i="2"/>
  <c r="FM34" i="2"/>
  <c r="FP34" i="2"/>
  <c r="FQ34" i="2"/>
  <c r="FR34" i="2"/>
  <c r="L35" i="2"/>
  <c r="BK35" i="2"/>
  <c r="CG35" i="2"/>
  <c r="DB35" i="2"/>
  <c r="DL35" i="2"/>
  <c r="DS35" i="2"/>
  <c r="DW35" i="2"/>
  <c r="DX35" i="2"/>
  <c r="DY35" i="2"/>
  <c r="EA35" i="2"/>
  <c r="ED35" i="2"/>
  <c r="FN35" i="2" s="1"/>
  <c r="FO35" i="2" s="1"/>
  <c r="EE35" i="2"/>
  <c r="EJ35" i="2"/>
  <c r="EL35" i="2"/>
  <c r="EW35" i="2"/>
  <c r="FG35" i="2"/>
  <c r="FH35" i="2" s="1"/>
  <c r="FJ35" i="2"/>
  <c r="FK35" i="2"/>
  <c r="FL35" i="2" s="1"/>
  <c r="FM35" i="2"/>
  <c r="FP35" i="2"/>
  <c r="FQ35" i="2"/>
  <c r="FR35" i="2" s="1"/>
  <c r="L36" i="2"/>
  <c r="AS36" i="2"/>
  <c r="BA36" i="2"/>
  <c r="BK36" i="2"/>
  <c r="CG36" i="2"/>
  <c r="DB36" i="2"/>
  <c r="DL36" i="2"/>
  <c r="EA36" i="2" s="1"/>
  <c r="DW36" i="2"/>
  <c r="DX36" i="2"/>
  <c r="DY36" i="2"/>
  <c r="ED36" i="2"/>
  <c r="EJ36" i="2"/>
  <c r="EL36" i="2"/>
  <c r="EW36" i="2"/>
  <c r="FG36" i="2"/>
  <c r="FH36" i="2" s="1"/>
  <c r="FJ36" i="2"/>
  <c r="FK36" i="2"/>
  <c r="FL36" i="2"/>
  <c r="FM36" i="2"/>
  <c r="FN36" i="2"/>
  <c r="FO36" i="2" s="1"/>
  <c r="FP36" i="2"/>
  <c r="FQ36" i="2"/>
  <c r="FR36" i="2" s="1"/>
  <c r="L37" i="2"/>
  <c r="AS37" i="2"/>
  <c r="BA37" i="2"/>
  <c r="BC37" i="2"/>
  <c r="BK37" i="2"/>
  <c r="CG37" i="2"/>
  <c r="DB37" i="2"/>
  <c r="DL37" i="2"/>
  <c r="DS37" i="2" s="1"/>
  <c r="DW37" i="2"/>
  <c r="DX37" i="2"/>
  <c r="EJ37" i="2" s="1"/>
  <c r="DY37" i="2"/>
  <c r="EA37" i="2"/>
  <c r="ED37" i="2"/>
  <c r="FM37" i="2" s="1"/>
  <c r="EE37" i="2"/>
  <c r="EW37" i="2"/>
  <c r="FG37" i="2"/>
  <c r="FH37" i="2"/>
  <c r="FJ37" i="2"/>
  <c r="FK37" i="2"/>
  <c r="FL37" i="2"/>
  <c r="FN37" i="2"/>
  <c r="FO37" i="2" s="1"/>
  <c r="FP37" i="2"/>
  <c r="FQ37" i="2"/>
  <c r="FR37" i="2" s="1"/>
  <c r="L38" i="2"/>
  <c r="AS38" i="2"/>
  <c r="BA38" i="2"/>
  <c r="BB38" i="2"/>
  <c r="BK38" i="2"/>
  <c r="CG38" i="2"/>
  <c r="DB38" i="2"/>
  <c r="DL38" i="2"/>
  <c r="DS38" i="2" s="1"/>
  <c r="DW38" i="2"/>
  <c r="DX38" i="2"/>
  <c r="EJ38" i="2" s="1"/>
  <c r="DY38" i="2"/>
  <c r="ED38" i="2"/>
  <c r="FN38" i="2" s="1"/>
  <c r="FO38" i="2" s="1"/>
  <c r="EL38" i="2"/>
  <c r="EW38" i="2"/>
  <c r="FG38" i="2"/>
  <c r="FH38" i="2" s="1"/>
  <c r="FJ38" i="2"/>
  <c r="FK38" i="2"/>
  <c r="FL38" i="2" s="1"/>
  <c r="FM38" i="2"/>
  <c r="FP38" i="2"/>
  <c r="FQ38" i="2"/>
  <c r="FR38" i="2" s="1"/>
  <c r="L39" i="2"/>
  <c r="AS39" i="2"/>
  <c r="BK39" i="2"/>
  <c r="CG39" i="2"/>
  <c r="DB39" i="2"/>
  <c r="DL39" i="2"/>
  <c r="DS39" i="2"/>
  <c r="DW39" i="2"/>
  <c r="DX39" i="2"/>
  <c r="DY39" i="2"/>
  <c r="EA39" i="2"/>
  <c r="ED39" i="2"/>
  <c r="FN39" i="2" s="1"/>
  <c r="FO39" i="2" s="1"/>
  <c r="EE39" i="2"/>
  <c r="EJ39" i="2"/>
  <c r="EL39" i="2"/>
  <c r="EW39" i="2"/>
  <c r="FH39" i="2"/>
  <c r="FJ39" i="2"/>
  <c r="FK39" i="2"/>
  <c r="FL39" i="2" s="1"/>
  <c r="FP39" i="2"/>
  <c r="FQ39" i="2"/>
  <c r="FR39" i="2"/>
  <c r="L40" i="2"/>
  <c r="AS40" i="2"/>
  <c r="BA40" i="2"/>
  <c r="BB40" i="2"/>
  <c r="BK40" i="2"/>
  <c r="CG40" i="2"/>
  <c r="DB40" i="2"/>
  <c r="DL40" i="2"/>
  <c r="EL40" i="2" s="1"/>
  <c r="DS40" i="2"/>
  <c r="DW40" i="2"/>
  <c r="DX40" i="2"/>
  <c r="DY40" i="2"/>
  <c r="EA40" i="2"/>
  <c r="ED40" i="2"/>
  <c r="FM40" i="2" s="1"/>
  <c r="EJ40" i="2"/>
  <c r="EW40" i="2"/>
  <c r="FG40" i="2"/>
  <c r="FH40" i="2"/>
  <c r="FJ40" i="2"/>
  <c r="FK40" i="2"/>
  <c r="FL40" i="2" s="1"/>
  <c r="FN40" i="2"/>
  <c r="FO40" i="2" s="1"/>
  <c r="FP40" i="2"/>
  <c r="FQ40" i="2"/>
  <c r="FR40" i="2" s="1"/>
  <c r="L41" i="2"/>
  <c r="AS41" i="2"/>
  <c r="BA41" i="2"/>
  <c r="BC41" i="2"/>
  <c r="BK41" i="2"/>
  <c r="CG41" i="2"/>
  <c r="DB41" i="2"/>
  <c r="DL41" i="2"/>
  <c r="DW41" i="2"/>
  <c r="DX41" i="2"/>
  <c r="EJ41" i="2" s="1"/>
  <c r="DY41" i="2"/>
  <c r="ED41" i="2"/>
  <c r="FN41" i="2" s="1"/>
  <c r="FO41" i="2" s="1"/>
  <c r="EW41" i="2"/>
  <c r="FG41" i="2"/>
  <c r="FH41" i="2" s="1"/>
  <c r="FJ41" i="2"/>
  <c r="FK41" i="2"/>
  <c r="FL41" i="2"/>
  <c r="FM41" i="2"/>
  <c r="FP41" i="2"/>
  <c r="FQ41" i="2"/>
  <c r="FR41" i="2"/>
  <c r="L42" i="2"/>
  <c r="BA42" i="2"/>
  <c r="BC42" i="2"/>
  <c r="BK42" i="2"/>
  <c r="CG42" i="2"/>
  <c r="DB42" i="2"/>
  <c r="DL42" i="2"/>
  <c r="DS42" i="2" s="1"/>
  <c r="DW42" i="2"/>
  <c r="DX42" i="2"/>
  <c r="DY42" i="2"/>
  <c r="EA42" i="2"/>
  <c r="ED42" i="2"/>
  <c r="FN42" i="2" s="1"/>
  <c r="FO42" i="2" s="1"/>
  <c r="EE42" i="2"/>
  <c r="EJ42" i="2"/>
  <c r="EL42" i="2"/>
  <c r="EW42" i="2"/>
  <c r="FG42" i="2"/>
  <c r="FH42" i="2" s="1"/>
  <c r="FJ42" i="2"/>
  <c r="FK42" i="2"/>
  <c r="FL42" i="2" s="1"/>
  <c r="FP42" i="2"/>
  <c r="FQ42" i="2"/>
  <c r="FR42" i="2"/>
  <c r="L43" i="2"/>
  <c r="AS43" i="2"/>
  <c r="BC43" i="2"/>
  <c r="BK43" i="2"/>
  <c r="CG43" i="2"/>
  <c r="DB43" i="2"/>
  <c r="DL43" i="2"/>
  <c r="DS43" i="2"/>
  <c r="DW43" i="2"/>
  <c r="DX43" i="2"/>
  <c r="EJ43" i="2" s="1"/>
  <c r="DY43" i="2"/>
  <c r="EA43" i="2"/>
  <c r="ED43" i="2"/>
  <c r="FM43" i="2" s="1"/>
  <c r="EE43" i="2"/>
  <c r="EL43" i="2"/>
  <c r="EW43" i="2"/>
  <c r="FG43" i="2"/>
  <c r="FH43" i="2"/>
  <c r="FJ43" i="2"/>
  <c r="FK43" i="2"/>
  <c r="FL43" i="2" s="1"/>
  <c r="FN43" i="2"/>
  <c r="FO43" i="2" s="1"/>
  <c r="FP43" i="2"/>
  <c r="FQ43" i="2"/>
  <c r="FR43" i="2" s="1"/>
  <c r="L44" i="2"/>
  <c r="AS44" i="2"/>
  <c r="BC44" i="2"/>
  <c r="BK44" i="2"/>
  <c r="CG44" i="2"/>
  <c r="DB44" i="2"/>
  <c r="DL44" i="2"/>
  <c r="DS44" i="2"/>
  <c r="DW44" i="2"/>
  <c r="DX44" i="2"/>
  <c r="EJ44" i="2" s="1"/>
  <c r="DY44" i="2"/>
  <c r="EA44" i="2"/>
  <c r="ED44" i="2"/>
  <c r="FM44" i="2" s="1"/>
  <c r="EE44" i="2"/>
  <c r="EL44" i="2"/>
  <c r="EW44" i="2"/>
  <c r="FG44" i="2"/>
  <c r="FH44" i="2" s="1"/>
  <c r="FJ44" i="2"/>
  <c r="FK44" i="2"/>
  <c r="FL44" i="2"/>
  <c r="FP44" i="2"/>
  <c r="FQ44" i="2"/>
  <c r="FR44" i="2"/>
  <c r="L45" i="2"/>
  <c r="AS45" i="2"/>
  <c r="BK45" i="2"/>
  <c r="CG45" i="2"/>
  <c r="DB45" i="2"/>
  <c r="DL45" i="2"/>
  <c r="DS45" i="2" s="1"/>
  <c r="DW45" i="2"/>
  <c r="DX45" i="2"/>
  <c r="EJ45" i="2" s="1"/>
  <c r="DY45" i="2"/>
  <c r="EA45" i="2"/>
  <c r="ED45" i="2"/>
  <c r="FM45" i="2" s="1"/>
  <c r="EE45" i="2"/>
  <c r="EL45" i="2"/>
  <c r="EW45" i="2"/>
  <c r="FG45" i="2"/>
  <c r="FH45" i="2"/>
  <c r="FJ45" i="2"/>
  <c r="FK45" i="2"/>
  <c r="FL45" i="2"/>
  <c r="FP45" i="2"/>
  <c r="FQ45" i="2"/>
  <c r="FR45" i="2" s="1"/>
  <c r="L46" i="2"/>
  <c r="AS46" i="2"/>
  <c r="BC46" i="2"/>
  <c r="BK46" i="2"/>
  <c r="CG46" i="2"/>
  <c r="DB46" i="2"/>
  <c r="DL46" i="2"/>
  <c r="DS46" i="2"/>
  <c r="DW46" i="2"/>
  <c r="DX46" i="2"/>
  <c r="EJ46" i="2" s="1"/>
  <c r="DY46" i="2"/>
  <c r="EA46" i="2"/>
  <c r="ED46" i="2"/>
  <c r="EL46" i="2"/>
  <c r="EW46" i="2"/>
  <c r="FG46" i="2"/>
  <c r="FH46" i="2"/>
  <c r="FJ46" i="2"/>
  <c r="FK46" i="2"/>
  <c r="FL46" i="2"/>
  <c r="FP46" i="2"/>
  <c r="FQ46" i="2"/>
  <c r="FR46" i="2"/>
  <c r="L47" i="2"/>
  <c r="AS47" i="2"/>
  <c r="BA47" i="2"/>
  <c r="BB47" i="2"/>
  <c r="BK47" i="2"/>
  <c r="CG47" i="2"/>
  <c r="DB47" i="2"/>
  <c r="DL47" i="2"/>
  <c r="DS47" i="2" s="1"/>
  <c r="DW47" i="2"/>
  <c r="DX47" i="2"/>
  <c r="EJ47" i="2" s="1"/>
  <c r="DY47" i="2"/>
  <c r="EA47" i="2"/>
  <c r="ED47" i="2"/>
  <c r="EE47" i="2"/>
  <c r="FN47" i="2" s="1"/>
  <c r="FO47" i="2" s="1"/>
  <c r="EL47" i="2"/>
  <c r="EW47" i="2"/>
  <c r="FG47" i="2"/>
  <c r="FH47" i="2" s="1"/>
  <c r="FJ47" i="2"/>
  <c r="FK47" i="2"/>
  <c r="FL47" i="2" s="1"/>
  <c r="FM47" i="2"/>
  <c r="FP47" i="2"/>
  <c r="FQ47" i="2"/>
  <c r="FR47" i="2"/>
  <c r="L48" i="2"/>
  <c r="AS48" i="2"/>
  <c r="BC48" i="2"/>
  <c r="BK48" i="2"/>
  <c r="CG48" i="2"/>
  <c r="DB48" i="2"/>
  <c r="DL48" i="2"/>
  <c r="EA48" i="2" s="1"/>
  <c r="DS48" i="2"/>
  <c r="DW48" i="2"/>
  <c r="DX48" i="2"/>
  <c r="EJ48" i="2" s="1"/>
  <c r="DY48" i="2"/>
  <c r="ED48" i="2"/>
  <c r="FN48" i="2" s="1"/>
  <c r="FO48" i="2" s="1"/>
  <c r="EL48" i="2"/>
  <c r="EW48" i="2"/>
  <c r="FG48" i="2"/>
  <c r="FH48" i="2" s="1"/>
  <c r="FJ48" i="2"/>
  <c r="FK48" i="2"/>
  <c r="FL48" i="2" s="1"/>
  <c r="FM48" i="2"/>
  <c r="FP48" i="2"/>
  <c r="FQ48" i="2"/>
  <c r="FR48" i="2" s="1"/>
  <c r="L49" i="2"/>
  <c r="AS49" i="2"/>
  <c r="BC49" i="2"/>
  <c r="BK49" i="2"/>
  <c r="CG49" i="2"/>
  <c r="DB49" i="2"/>
  <c r="DL49" i="2"/>
  <c r="EA49" i="2" s="1"/>
  <c r="DW49" i="2"/>
  <c r="DX49" i="2"/>
  <c r="DY49" i="2"/>
  <c r="ED49" i="2"/>
  <c r="EJ49" i="2"/>
  <c r="EW49" i="2"/>
  <c r="FG49" i="2"/>
  <c r="FH49" i="2" s="1"/>
  <c r="FJ49" i="2"/>
  <c r="FK49" i="2"/>
  <c r="FL49" i="2"/>
  <c r="FM49" i="2"/>
  <c r="FN49" i="2"/>
  <c r="FO49" i="2" s="1"/>
  <c r="FP49" i="2"/>
  <c r="FQ49" i="2"/>
  <c r="FR49" i="2" s="1"/>
  <c r="L50" i="2"/>
  <c r="AS50" i="2"/>
  <c r="BA50" i="2"/>
  <c r="BD50" i="2"/>
  <c r="BK50" i="2"/>
  <c r="CG50" i="2"/>
  <c r="DB50" i="2"/>
  <c r="DL50" i="2"/>
  <c r="DS50" i="2"/>
  <c r="DW50" i="2"/>
  <c r="DX50" i="2"/>
  <c r="EJ50" i="2" s="1"/>
  <c r="DY50" i="2"/>
  <c r="EA50" i="2"/>
  <c r="ED50" i="2"/>
  <c r="FM50" i="2" s="1"/>
  <c r="EE50" i="2"/>
  <c r="EL50" i="2"/>
  <c r="EW50" i="2"/>
  <c r="FG50" i="2"/>
  <c r="FH50" i="2"/>
  <c r="FJ50" i="2"/>
  <c r="FK50" i="2"/>
  <c r="FL50" i="2"/>
  <c r="FN50" i="2"/>
  <c r="FO50" i="2" s="1"/>
  <c r="FP50" i="2"/>
  <c r="FQ50" i="2"/>
  <c r="FR50" i="2" s="1"/>
  <c r="L51" i="2"/>
  <c r="AS51" i="2"/>
  <c r="BK51" i="2"/>
  <c r="CG51" i="2"/>
  <c r="DB51" i="2"/>
  <c r="DL51" i="2"/>
  <c r="DW51" i="2"/>
  <c r="DX51" i="2"/>
  <c r="EJ51" i="2" s="1"/>
  <c r="DY51" i="2"/>
  <c r="ED51" i="2"/>
  <c r="FN51" i="2" s="1"/>
  <c r="FO51" i="2" s="1"/>
  <c r="EW51" i="2"/>
  <c r="FG51" i="2"/>
  <c r="FH51" i="2" s="1"/>
  <c r="FJ51" i="2"/>
  <c r="FK51" i="2"/>
  <c r="FL51" i="2"/>
  <c r="FM51" i="2"/>
  <c r="FP51" i="2"/>
  <c r="FQ51" i="2"/>
  <c r="FR51" i="2"/>
  <c r="L52" i="2"/>
  <c r="BA52" i="2"/>
  <c r="BC52" i="2"/>
  <c r="BK52" i="2"/>
  <c r="CG52" i="2"/>
  <c r="DB52" i="2"/>
  <c r="DL52" i="2"/>
  <c r="EL52" i="2" s="1"/>
  <c r="DW52" i="2"/>
  <c r="DX52" i="2"/>
  <c r="DY52" i="2"/>
  <c r="EA52" i="2"/>
  <c r="ED52" i="2"/>
  <c r="FM52" i="2" s="1"/>
  <c r="EJ52" i="2"/>
  <c r="EW52" i="2"/>
  <c r="FG52" i="2"/>
  <c r="FH52" i="2"/>
  <c r="FJ52" i="2"/>
  <c r="FK52" i="2"/>
  <c r="FL52" i="2"/>
  <c r="FP52" i="2"/>
  <c r="FQ52" i="2"/>
  <c r="FR52" i="2" s="1"/>
  <c r="L53" i="2"/>
  <c r="AS53" i="2"/>
  <c r="BK53" i="2"/>
  <c r="CG53" i="2"/>
  <c r="DB53" i="2"/>
  <c r="DL53" i="2"/>
  <c r="EA53" i="2" s="1"/>
  <c r="DW53" i="2"/>
  <c r="DX53" i="2"/>
  <c r="DY53" i="2"/>
  <c r="ED53" i="2"/>
  <c r="EJ53" i="2"/>
  <c r="EL53" i="2"/>
  <c r="EW53" i="2"/>
  <c r="FG53" i="2"/>
  <c r="FH53" i="2" s="1"/>
  <c r="FJ53" i="2"/>
  <c r="FK53" i="2"/>
  <c r="FL53" i="2" s="1"/>
  <c r="FM53" i="2"/>
  <c r="FN53" i="2"/>
  <c r="FO53" i="2" s="1"/>
  <c r="FP53" i="2"/>
  <c r="FQ53" i="2"/>
  <c r="FR53" i="2" s="1"/>
  <c r="L54" i="2"/>
  <c r="AS54" i="2"/>
  <c r="BC54" i="2"/>
  <c r="BD54" i="2"/>
  <c r="BK54" i="2"/>
  <c r="CG54" i="2"/>
  <c r="DB54" i="2"/>
  <c r="DL54" i="2"/>
  <c r="DS54" i="2" s="1"/>
  <c r="DW54" i="2"/>
  <c r="DX54" i="2"/>
  <c r="EJ54" i="2" s="1"/>
  <c r="DY54" i="2"/>
  <c r="EA54" i="2"/>
  <c r="ED54" i="2"/>
  <c r="FM54" i="2" s="1"/>
  <c r="EE54" i="2"/>
  <c r="EL54" i="2"/>
  <c r="EW54" i="2"/>
  <c r="FG54" i="2"/>
  <c r="FH54" i="2"/>
  <c r="FJ54" i="2"/>
  <c r="FK54" i="2"/>
  <c r="FL54" i="2"/>
  <c r="FN54" i="2"/>
  <c r="FO54" i="2" s="1"/>
  <c r="FP54" i="2"/>
  <c r="FQ54" i="2"/>
  <c r="FR54" i="2" s="1"/>
  <c r="L55" i="2"/>
  <c r="AS55" i="2"/>
  <c r="BK55" i="2"/>
  <c r="CG55" i="2"/>
  <c r="DB55" i="2"/>
  <c r="DL55" i="2"/>
  <c r="DW55" i="2"/>
  <c r="DX55" i="2"/>
  <c r="EJ55" i="2" s="1"/>
  <c r="DY55" i="2"/>
  <c r="ED55" i="2"/>
  <c r="FN55" i="2" s="1"/>
  <c r="FO55" i="2" s="1"/>
  <c r="EW55" i="2"/>
  <c r="FG55" i="2"/>
  <c r="FH55" i="2" s="1"/>
  <c r="FJ55" i="2"/>
  <c r="FK55" i="2"/>
  <c r="FL55" i="2"/>
  <c r="FM55" i="2"/>
  <c r="FP55" i="2"/>
  <c r="FQ55" i="2"/>
  <c r="FR55" i="2"/>
  <c r="L56" i="2"/>
  <c r="AS56" i="2"/>
  <c r="BC56" i="2"/>
  <c r="BK56" i="2"/>
  <c r="CG56" i="2"/>
  <c r="DB56" i="2"/>
  <c r="DL56" i="2"/>
  <c r="EL56" i="2" s="1"/>
  <c r="DW56" i="2"/>
  <c r="DX56" i="2"/>
  <c r="DY56" i="2"/>
  <c r="EA56" i="2"/>
  <c r="ED56" i="2"/>
  <c r="FM56" i="2" s="1"/>
  <c r="EJ56" i="2"/>
  <c r="EW56" i="2"/>
  <c r="FG56" i="2"/>
  <c r="FH56" i="2"/>
  <c r="FJ56" i="2"/>
  <c r="FK56" i="2"/>
  <c r="FL56" i="2"/>
  <c r="FP56" i="2"/>
  <c r="FQ56" i="2"/>
  <c r="FR56" i="2" s="1"/>
  <c r="L57" i="2"/>
  <c r="AS57" i="2"/>
  <c r="BC57" i="2"/>
  <c r="BK57" i="2"/>
  <c r="CG57" i="2"/>
  <c r="DB57" i="2"/>
  <c r="DL57" i="2"/>
  <c r="DS57" i="2" s="1"/>
  <c r="DW57" i="2"/>
  <c r="DX57" i="2"/>
  <c r="EJ57" i="2" s="1"/>
  <c r="DY57" i="2"/>
  <c r="EA57" i="2"/>
  <c r="ED57" i="2"/>
  <c r="EL57" i="2"/>
  <c r="EW57" i="2"/>
  <c r="FG57" i="2"/>
  <c r="FH57" i="2"/>
  <c r="FJ57" i="2"/>
  <c r="FK57" i="2"/>
  <c r="FL57" i="2"/>
  <c r="FP57" i="2"/>
  <c r="FQ57" i="2"/>
  <c r="FR57" i="2"/>
  <c r="L58" i="2"/>
  <c r="AS58" i="2"/>
  <c r="BK58" i="2"/>
  <c r="CG58" i="2"/>
  <c r="DB58" i="2"/>
  <c r="DL58" i="2"/>
  <c r="EA58" i="2" s="1"/>
  <c r="DS58" i="2"/>
  <c r="DW58" i="2"/>
  <c r="DX58" i="2"/>
  <c r="DY58" i="2"/>
  <c r="ED58" i="2"/>
  <c r="FM58" i="2" s="1"/>
  <c r="EJ58" i="2"/>
  <c r="EW58" i="2"/>
  <c r="FG58" i="2"/>
  <c r="FH58" i="2" s="1"/>
  <c r="FJ58" i="2"/>
  <c r="FK58" i="2"/>
  <c r="FL58" i="2" s="1"/>
  <c r="FN58" i="2"/>
  <c r="FO58" i="2" s="1"/>
  <c r="FP58" i="2"/>
  <c r="FQ58" i="2"/>
  <c r="FR58" i="2" s="1"/>
  <c r="L59" i="2"/>
  <c r="AS59" i="2"/>
  <c r="BA59" i="2"/>
  <c r="BC59" i="2"/>
  <c r="BK59" i="2"/>
  <c r="CG59" i="2"/>
  <c r="DB59" i="2"/>
  <c r="DL59" i="2"/>
  <c r="DS59" i="2" s="1"/>
  <c r="DW59" i="2"/>
  <c r="DX59" i="2"/>
  <c r="DY59" i="2"/>
  <c r="EA59" i="2"/>
  <c r="ED59" i="2"/>
  <c r="FM59" i="2" s="1"/>
  <c r="EE59" i="2"/>
  <c r="EJ59" i="2"/>
  <c r="EL59" i="2"/>
  <c r="EW59" i="2"/>
  <c r="FG59" i="2"/>
  <c r="FH59" i="2"/>
  <c r="FJ59" i="2"/>
  <c r="FK59" i="2"/>
  <c r="FL59" i="2"/>
  <c r="FN59" i="2"/>
  <c r="FO59" i="2" s="1"/>
  <c r="FP59" i="2"/>
  <c r="FQ59" i="2"/>
  <c r="FR59" i="2"/>
  <c r="L60" i="2"/>
  <c r="AS60" i="2"/>
  <c r="BK60" i="2"/>
  <c r="CG60" i="2"/>
  <c r="DB60" i="2"/>
  <c r="DL60" i="2"/>
  <c r="DS60" i="2" s="1"/>
  <c r="DW60" i="2"/>
  <c r="DX60" i="2"/>
  <c r="DY60" i="2"/>
  <c r="EA60" i="2"/>
  <c r="ED60" i="2"/>
  <c r="FN60" i="2" s="1"/>
  <c r="FO60" i="2" s="1"/>
  <c r="EE60" i="2"/>
  <c r="EJ60" i="2"/>
  <c r="EL60" i="2"/>
  <c r="EW60" i="2"/>
  <c r="FG60" i="2"/>
  <c r="FH60" i="2"/>
  <c r="FJ60" i="2"/>
  <c r="FK60" i="2"/>
  <c r="FL60" i="2" s="1"/>
  <c r="FP60" i="2"/>
  <c r="FQ60" i="2"/>
  <c r="FR60" i="2"/>
  <c r="L61" i="2"/>
  <c r="CG61" i="2"/>
  <c r="DB61" i="2"/>
  <c r="L62" i="2"/>
  <c r="CG62" i="2"/>
  <c r="DB62" i="2"/>
  <c r="L63" i="2"/>
  <c r="CG63" i="2"/>
  <c r="DB63" i="2"/>
  <c r="L64" i="2"/>
  <c r="CG64" i="2"/>
  <c r="DB64" i="2"/>
  <c r="L65" i="2"/>
  <c r="CG65" i="2"/>
  <c r="DB65" i="2"/>
  <c r="L66" i="2"/>
  <c r="CG66" i="2"/>
  <c r="DB66" i="2"/>
  <c r="L67" i="2"/>
  <c r="BC67" i="2"/>
  <c r="BD67" i="2"/>
  <c r="BK67" i="2"/>
  <c r="CG67" i="2"/>
  <c r="CN67" i="2"/>
  <c r="DB67" i="2"/>
  <c r="DL67" i="2"/>
  <c r="EA67" i="2" s="1"/>
  <c r="DS67" i="2"/>
  <c r="DW67" i="2"/>
  <c r="DX67" i="2"/>
  <c r="EJ67" i="2" s="1"/>
  <c r="DY67" i="2"/>
  <c r="ED67" i="2"/>
  <c r="FM67" i="2" s="1"/>
  <c r="EL67" i="2"/>
  <c r="EW67" i="2"/>
  <c r="FG67" i="2"/>
  <c r="FH67" i="2" s="1"/>
  <c r="FI67" i="2"/>
  <c r="FJ67" i="2"/>
  <c r="FK67" i="2"/>
  <c r="FL67" i="2"/>
  <c r="FP67" i="2"/>
  <c r="FQ67" i="2"/>
  <c r="FR67" i="2" s="1"/>
  <c r="L68" i="2"/>
  <c r="CG68" i="2"/>
  <c r="CN68" i="2"/>
  <c r="DB68" i="2"/>
  <c r="DL68" i="2"/>
  <c r="DW68" i="2"/>
  <c r="DX68" i="2"/>
  <c r="DY68" i="2"/>
  <c r="ED68" i="2"/>
  <c r="EJ68" i="2"/>
  <c r="FI68" i="2"/>
  <c r="L69" i="2"/>
  <c r="AS69" i="2"/>
  <c r="BA69" i="2"/>
  <c r="BK69" i="2"/>
  <c r="CG69" i="2"/>
  <c r="CN69" i="2"/>
  <c r="DB69" i="2"/>
  <c r="DL69" i="2"/>
  <c r="DS69" i="2" s="1"/>
  <c r="DW69" i="2"/>
  <c r="DX69" i="2"/>
  <c r="EJ69" i="2" s="1"/>
  <c r="DY69" i="2"/>
  <c r="EA69" i="2"/>
  <c r="ED69" i="2"/>
  <c r="EL69" i="2"/>
  <c r="EW69" i="2"/>
  <c r="FG69" i="2"/>
  <c r="FH69" i="2"/>
  <c r="FI69" i="2"/>
  <c r="FJ69" i="2"/>
  <c r="FK69" i="2"/>
  <c r="FL69" i="2"/>
  <c r="FP69" i="2"/>
  <c r="FQ69" i="2"/>
  <c r="FR69" i="2" s="1"/>
  <c r="L70" i="2"/>
  <c r="BA70" i="2"/>
  <c r="BC70" i="2"/>
  <c r="BK70" i="2"/>
  <c r="CG70" i="2"/>
  <c r="CN70" i="2"/>
  <c r="DB70" i="2"/>
  <c r="DL70" i="2"/>
  <c r="EL70" i="2" s="1"/>
  <c r="DS70" i="2"/>
  <c r="DW70" i="2"/>
  <c r="DX70" i="2"/>
  <c r="EJ70" i="2" s="1"/>
  <c r="DY70" i="2"/>
  <c r="EA70" i="2"/>
  <c r="ED70" i="2"/>
  <c r="EW70" i="2"/>
  <c r="FG70" i="2"/>
  <c r="FH70" i="2" s="1"/>
  <c r="FI70" i="2"/>
  <c r="FJ70" i="2"/>
  <c r="FK70" i="2"/>
  <c r="FL70" i="2"/>
  <c r="FP70" i="2"/>
  <c r="FQ70" i="2"/>
  <c r="FR70" i="2"/>
  <c r="L71" i="2"/>
  <c r="AS71" i="2"/>
  <c r="BA71" i="2"/>
  <c r="BC71" i="2"/>
  <c r="BK71" i="2"/>
  <c r="CG71" i="2"/>
  <c r="CN71" i="2"/>
  <c r="DB71" i="2"/>
  <c r="DL71" i="2"/>
  <c r="DS71" i="2" s="1"/>
  <c r="DW71" i="2"/>
  <c r="DX71" i="2"/>
  <c r="EJ71" i="2" s="1"/>
  <c r="DY71" i="2"/>
  <c r="EA71" i="2"/>
  <c r="ED71" i="2"/>
  <c r="EE71" i="2"/>
  <c r="FN71" i="2" s="1"/>
  <c r="EL71" i="2"/>
  <c r="EW71" i="2"/>
  <c r="FG71" i="2"/>
  <c r="FH71" i="2"/>
  <c r="FI71" i="2"/>
  <c r="FJ71" i="2"/>
  <c r="FK71" i="2"/>
  <c r="FL71" i="2"/>
  <c r="FM71" i="2"/>
  <c r="FO71" i="2"/>
  <c r="FP71" i="2"/>
  <c r="FQ71" i="2"/>
  <c r="FR71" i="2"/>
  <c r="L72" i="2"/>
  <c r="AS72" i="2"/>
  <c r="BK72" i="2"/>
  <c r="CG72" i="2"/>
  <c r="CN72" i="2"/>
  <c r="DB72" i="2"/>
  <c r="DL72" i="2"/>
  <c r="DS72" i="2" s="1"/>
  <c r="DW72" i="2"/>
  <c r="DX72" i="2"/>
  <c r="DY72" i="2"/>
  <c r="ED72" i="2"/>
  <c r="EJ72" i="2"/>
  <c r="EW72" i="2"/>
  <c r="FG72" i="2"/>
  <c r="FH72" i="2"/>
  <c r="FI72" i="2"/>
  <c r="FJ72" i="2"/>
  <c r="FK72" i="2"/>
  <c r="FL72" i="2" s="1"/>
  <c r="FM72" i="2"/>
  <c r="FN72" i="2"/>
  <c r="FO72" i="2" s="1"/>
  <c r="FP72" i="2"/>
  <c r="FQ72" i="2"/>
  <c r="FR72" i="2" s="1"/>
  <c r="L73" i="2"/>
  <c r="BA73" i="2"/>
  <c r="BK73" i="2"/>
  <c r="CG73" i="2"/>
  <c r="CN73" i="2"/>
  <c r="DB73" i="2"/>
  <c r="DL73" i="2"/>
  <c r="EA73" i="2" s="1"/>
  <c r="DS73" i="2"/>
  <c r="DW73" i="2"/>
  <c r="DX73" i="2"/>
  <c r="EJ73" i="2" s="1"/>
  <c r="DY73" i="2"/>
  <c r="ED73" i="2"/>
  <c r="FM73" i="2" s="1"/>
  <c r="EL73" i="2"/>
  <c r="EW73" i="2"/>
  <c r="FG73" i="2"/>
  <c r="FH73" i="2" s="1"/>
  <c r="FI73" i="2"/>
  <c r="FJ73" i="2"/>
  <c r="FK73" i="2"/>
  <c r="FL73" i="2"/>
  <c r="FP73" i="2"/>
  <c r="FQ73" i="2"/>
  <c r="FR73" i="2" s="1"/>
  <c r="L74" i="2"/>
  <c r="CG74" i="2"/>
  <c r="CN74" i="2"/>
  <c r="DB74" i="2"/>
  <c r="DL74" i="2"/>
  <c r="DW74" i="2"/>
  <c r="DX74" i="2"/>
  <c r="DY74" i="2"/>
  <c r="ED74" i="2"/>
  <c r="EJ74" i="2"/>
  <c r="FI74" i="2"/>
  <c r="L75" i="2"/>
  <c r="AS75" i="2"/>
  <c r="BA75" i="2"/>
  <c r="BK75" i="2"/>
  <c r="CG75" i="2"/>
  <c r="CN75" i="2"/>
  <c r="DB75" i="2"/>
  <c r="DL75" i="2"/>
  <c r="DS75" i="2" s="1"/>
  <c r="DW75" i="2"/>
  <c r="DX75" i="2"/>
  <c r="EJ75" i="2" s="1"/>
  <c r="DY75" i="2"/>
  <c r="EA75" i="2"/>
  <c r="ED75" i="2"/>
  <c r="EL75" i="2"/>
  <c r="EW75" i="2"/>
  <c r="FG75" i="2"/>
  <c r="FH75" i="2"/>
  <c r="FI75" i="2"/>
  <c r="FJ75" i="2"/>
  <c r="FK75" i="2"/>
  <c r="FL75" i="2"/>
  <c r="FP75" i="2"/>
  <c r="FQ75" i="2"/>
  <c r="FR75" i="2"/>
  <c r="L76" i="2"/>
  <c r="CG76" i="2"/>
  <c r="CN76" i="2"/>
  <c r="DB76" i="2"/>
  <c r="DL76" i="2"/>
  <c r="FI76" i="2" s="1"/>
  <c r="DW76" i="2"/>
  <c r="DX76" i="2"/>
  <c r="EJ76" i="2" s="1"/>
  <c r="DY76" i="2"/>
  <c r="ED76" i="2"/>
  <c r="L77" i="2"/>
  <c r="BK77" i="2"/>
  <c r="CG77" i="2"/>
  <c r="CN77" i="2"/>
  <c r="DB77" i="2"/>
  <c r="DL77" i="2"/>
  <c r="EA77" i="2" s="1"/>
  <c r="DS77" i="2"/>
  <c r="DW77" i="2"/>
  <c r="DX77" i="2"/>
  <c r="DY77" i="2"/>
  <c r="ED77" i="2"/>
  <c r="FN77" i="2" s="1"/>
  <c r="FO77" i="2" s="1"/>
  <c r="EJ77" i="2"/>
  <c r="EW77" i="2"/>
  <c r="FG77" i="2"/>
  <c r="FH77" i="2" s="1"/>
  <c r="FI77" i="2"/>
  <c r="FJ77" i="2"/>
  <c r="FK77" i="2"/>
  <c r="FL77" i="2" s="1"/>
  <c r="FM77" i="2"/>
  <c r="FP77" i="2"/>
  <c r="FQ77" i="2"/>
  <c r="FR77" i="2"/>
  <c r="L78" i="2"/>
  <c r="AS78" i="2"/>
  <c r="BA78" i="2"/>
  <c r="BB78" i="2"/>
  <c r="BD78" i="2"/>
  <c r="BK78" i="2"/>
  <c r="CG78" i="2"/>
  <c r="CN78" i="2"/>
  <c r="DB78" i="2"/>
  <c r="DL78" i="2"/>
  <c r="DS78" i="2" s="1"/>
  <c r="DW78" i="2"/>
  <c r="DX78" i="2"/>
  <c r="EJ78" i="2" s="1"/>
  <c r="DY78" i="2"/>
  <c r="EA78" i="2"/>
  <c r="ED78" i="2"/>
  <c r="FM78" i="2" s="1"/>
  <c r="EE78" i="2"/>
  <c r="EL78" i="2"/>
  <c r="EW78" i="2"/>
  <c r="FG78" i="2"/>
  <c r="FH78" i="2"/>
  <c r="FI78" i="2"/>
  <c r="FJ78" i="2"/>
  <c r="FK78" i="2"/>
  <c r="FL78" i="2" s="1"/>
  <c r="FN78" i="2"/>
  <c r="FO78" i="2" s="1"/>
  <c r="FP78" i="2"/>
  <c r="FQ78" i="2"/>
  <c r="FR78" i="2" s="1"/>
  <c r="L79" i="2"/>
  <c r="AS79" i="2"/>
  <c r="BA79" i="2"/>
  <c r="BK79" i="2"/>
  <c r="CG79" i="2"/>
  <c r="CN79" i="2"/>
  <c r="DB79" i="2"/>
  <c r="DL79" i="2"/>
  <c r="DS79" i="2" s="1"/>
  <c r="DW79" i="2"/>
  <c r="DX79" i="2"/>
  <c r="EJ79" i="2" s="1"/>
  <c r="DY79" i="2"/>
  <c r="ED79" i="2"/>
  <c r="FM79" i="2" s="1"/>
  <c r="EL79" i="2"/>
  <c r="EW79" i="2"/>
  <c r="FG79" i="2"/>
  <c r="FH79" i="2"/>
  <c r="FI79" i="2"/>
  <c r="FJ79" i="2"/>
  <c r="FK79" i="2"/>
  <c r="FL79" i="2"/>
  <c r="FP79" i="2"/>
  <c r="FQ79" i="2"/>
  <c r="FR79" i="2" s="1"/>
  <c r="L80" i="2"/>
  <c r="BA80" i="2"/>
  <c r="CG80" i="2"/>
  <c r="CN80" i="2"/>
  <c r="DB80" i="2"/>
  <c r="DL80" i="2"/>
  <c r="FI80" i="2" s="1"/>
  <c r="DW80" i="2"/>
  <c r="DX80" i="2"/>
  <c r="DY80" i="2"/>
  <c r="ED80" i="2"/>
  <c r="EJ80" i="2"/>
  <c r="L81" i="2"/>
  <c r="AS81" i="2"/>
  <c r="BK81" i="2"/>
  <c r="CG81" i="2"/>
  <c r="CN81" i="2"/>
  <c r="DB81" i="2"/>
  <c r="DL81" i="2"/>
  <c r="EA81" i="2" s="1"/>
  <c r="DS81" i="2"/>
  <c r="DW81" i="2"/>
  <c r="DX81" i="2"/>
  <c r="DY81" i="2"/>
  <c r="ED81" i="2"/>
  <c r="EJ81" i="2"/>
  <c r="EL81" i="2"/>
  <c r="EW81" i="2"/>
  <c r="FG81" i="2"/>
  <c r="FH81" i="2"/>
  <c r="FI81" i="2"/>
  <c r="FJ81" i="2"/>
  <c r="FK81" i="2"/>
  <c r="FL81" i="2" s="1"/>
  <c r="FM81" i="2"/>
  <c r="FN81" i="2"/>
  <c r="FO81" i="2" s="1"/>
  <c r="FP81" i="2"/>
  <c r="FQ81" i="2"/>
  <c r="FR81" i="2" s="1"/>
  <c r="L82" i="2"/>
  <c r="BK82" i="2"/>
  <c r="CG82" i="2"/>
  <c r="CN82" i="2"/>
  <c r="DB82" i="2"/>
  <c r="DL82" i="2"/>
  <c r="DS82" i="2"/>
  <c r="DW82" i="2"/>
  <c r="DX82" i="2"/>
  <c r="DY82" i="2"/>
  <c r="EA82" i="2"/>
  <c r="ED82" i="2"/>
  <c r="EJ82" i="2"/>
  <c r="EL82" i="2"/>
  <c r="EW82" i="2"/>
  <c r="FG82" i="2"/>
  <c r="FH82" i="2"/>
  <c r="FI82" i="2"/>
  <c r="FJ82" i="2"/>
  <c r="FK82" i="2"/>
  <c r="FL82" i="2" s="1"/>
  <c r="FM82" i="2"/>
  <c r="FN82" i="2"/>
  <c r="FO82" i="2" s="1"/>
  <c r="FP82" i="2"/>
  <c r="FQ82" i="2"/>
  <c r="FR82" i="2" s="1"/>
  <c r="L83" i="2"/>
  <c r="AS83" i="2"/>
  <c r="BA83" i="2"/>
  <c r="BK83" i="2"/>
  <c r="CG83" i="2"/>
  <c r="CN83" i="2"/>
  <c r="DB83" i="2"/>
  <c r="DL83" i="2"/>
  <c r="DS83" i="2" s="1"/>
  <c r="DW83" i="2"/>
  <c r="DX83" i="2"/>
  <c r="DY83" i="2"/>
  <c r="EA83" i="2"/>
  <c r="ED83" i="2"/>
  <c r="FM83" i="2" s="1"/>
  <c r="EE83" i="2"/>
  <c r="EJ83" i="2"/>
  <c r="EL83" i="2"/>
  <c r="EW83" i="2"/>
  <c r="FG83" i="2"/>
  <c r="FH83" i="2"/>
  <c r="FI83" i="2"/>
  <c r="FJ83" i="2"/>
  <c r="FK83" i="2"/>
  <c r="FL83" i="2" s="1"/>
  <c r="FN83" i="2"/>
  <c r="FO83" i="2" s="1"/>
  <c r="FP83" i="2"/>
  <c r="FQ83" i="2"/>
  <c r="FR83" i="2" s="1"/>
  <c r="L84" i="2"/>
  <c r="AS84" i="2"/>
  <c r="BA84" i="2"/>
  <c r="BK84" i="2"/>
  <c r="CG84" i="2"/>
  <c r="CN84" i="2"/>
  <c r="DB84" i="2"/>
  <c r="DL84" i="2"/>
  <c r="EL84" i="2" s="1"/>
  <c r="DW84" i="2"/>
  <c r="DX84" i="2"/>
  <c r="DY84" i="2"/>
  <c r="EA84" i="2"/>
  <c r="ED84" i="2"/>
  <c r="EJ84" i="2"/>
  <c r="EW84" i="2"/>
  <c r="FG84" i="2"/>
  <c r="FH84" i="2"/>
  <c r="FI84" i="2"/>
  <c r="FJ84" i="2"/>
  <c r="FK84" i="2"/>
  <c r="FL84" i="2" s="1"/>
  <c r="FP84" i="2"/>
  <c r="FQ84" i="2"/>
  <c r="FR84" i="2"/>
  <c r="L85" i="2"/>
  <c r="CG85" i="2"/>
  <c r="CN85" i="2"/>
  <c r="DB85" i="2"/>
  <c r="DL85" i="2"/>
  <c r="FI85" i="2" s="1"/>
  <c r="DW85" i="2"/>
  <c r="DX85" i="2"/>
  <c r="DY85" i="2"/>
  <c r="ED85" i="2"/>
  <c r="EJ85" i="2"/>
  <c r="L86" i="2"/>
  <c r="BA86" i="2"/>
  <c r="BC86" i="2"/>
  <c r="BD86" i="2"/>
  <c r="BK86" i="2"/>
  <c r="CG86" i="2"/>
  <c r="CN86" i="2"/>
  <c r="DB86" i="2"/>
  <c r="DL86" i="2"/>
  <c r="EA86" i="2" s="1"/>
  <c r="DS86" i="2"/>
  <c r="DW86" i="2"/>
  <c r="DX86" i="2"/>
  <c r="DY86" i="2"/>
  <c r="ED86" i="2"/>
  <c r="FN86" i="2" s="1"/>
  <c r="FO86" i="2" s="1"/>
  <c r="EJ86" i="2"/>
  <c r="EW86" i="2"/>
  <c r="FG86" i="2"/>
  <c r="FH86" i="2" s="1"/>
  <c r="FI86" i="2"/>
  <c r="FJ86" i="2"/>
  <c r="FK86" i="2"/>
  <c r="FL86" i="2" s="1"/>
  <c r="FM86" i="2"/>
  <c r="FP86" i="2"/>
  <c r="FQ86" i="2"/>
  <c r="FR86" i="2"/>
  <c r="L87" i="2"/>
  <c r="BA87" i="2"/>
  <c r="BC87" i="2"/>
  <c r="BK87" i="2"/>
  <c r="CG87" i="2"/>
  <c r="DB87" i="2"/>
  <c r="DL87" i="2"/>
  <c r="EA87" i="2" s="1"/>
  <c r="DW87" i="2"/>
  <c r="DX87" i="2"/>
  <c r="EJ87" i="2" s="1"/>
  <c r="DY87" i="2"/>
  <c r="ED87" i="2"/>
  <c r="FM87" i="2" s="1"/>
  <c r="EW87" i="2"/>
  <c r="FG87" i="2"/>
  <c r="FH87" i="2" s="1"/>
  <c r="FJ87" i="2"/>
  <c r="FK87" i="2"/>
  <c r="FL87" i="2"/>
  <c r="FN87" i="2"/>
  <c r="FO87" i="2" s="1"/>
  <c r="FP87" i="2"/>
  <c r="FQ87" i="2"/>
  <c r="FR87" i="2"/>
  <c r="L88" i="2"/>
  <c r="AS88" i="2"/>
  <c r="BK88" i="2"/>
  <c r="CG88" i="2"/>
  <c r="CN88" i="2"/>
  <c r="DB88" i="2"/>
  <c r="DL88" i="2"/>
  <c r="DS88" i="2"/>
  <c r="DW88" i="2"/>
  <c r="DX88" i="2"/>
  <c r="DY88" i="2"/>
  <c r="EA88" i="2"/>
  <c r="ED88" i="2"/>
  <c r="EJ88" i="2"/>
  <c r="EL88" i="2"/>
  <c r="EW88" i="2"/>
  <c r="FG88" i="2"/>
  <c r="FH88" i="2"/>
  <c r="FI88" i="2"/>
  <c r="FJ88" i="2"/>
  <c r="FK88" i="2"/>
  <c r="FL88" i="2" s="1"/>
  <c r="FM88" i="2"/>
  <c r="FN88" i="2"/>
  <c r="FO88" i="2" s="1"/>
  <c r="FP88" i="2"/>
  <c r="FQ88" i="2"/>
  <c r="FR88" i="2" s="1"/>
  <c r="L89" i="2"/>
  <c r="AS89" i="2"/>
  <c r="BA89" i="2"/>
  <c r="BC89" i="2"/>
  <c r="BD89" i="2"/>
  <c r="BK89" i="2"/>
  <c r="CG89" i="2"/>
  <c r="CN89" i="2"/>
  <c r="DB89" i="2"/>
  <c r="DL89" i="2"/>
  <c r="DS89" i="2"/>
  <c r="DW89" i="2"/>
  <c r="DX89" i="2"/>
  <c r="EJ89" i="2" s="1"/>
  <c r="DY89" i="2"/>
  <c r="EA89" i="2"/>
  <c r="ED89" i="2"/>
  <c r="FM89" i="2" s="1"/>
  <c r="EE89" i="2"/>
  <c r="EL89" i="2"/>
  <c r="EW89" i="2"/>
  <c r="FG89" i="2"/>
  <c r="FH89" i="2" s="1"/>
  <c r="FI89" i="2"/>
  <c r="FJ89" i="2"/>
  <c r="FK89" i="2"/>
  <c r="FL89" i="2"/>
  <c r="FP89" i="2"/>
  <c r="FQ89" i="2"/>
  <c r="FR89" i="2"/>
  <c r="L90" i="2"/>
  <c r="AS90" i="2"/>
  <c r="BK90" i="2"/>
  <c r="CG90" i="2"/>
  <c r="CN90" i="2"/>
  <c r="DB90" i="2"/>
  <c r="DL90" i="2"/>
  <c r="DS90" i="2"/>
  <c r="DW90" i="2"/>
  <c r="DX90" i="2"/>
  <c r="DY90" i="2"/>
  <c r="EA90" i="2"/>
  <c r="ED90" i="2"/>
  <c r="EE90" i="2"/>
  <c r="EJ90" i="2"/>
  <c r="EL90" i="2"/>
  <c r="EW90" i="2"/>
  <c r="FG90" i="2"/>
  <c r="FH90" i="2" s="1"/>
  <c r="FI90" i="2"/>
  <c r="FJ90" i="2"/>
  <c r="FK90" i="2"/>
  <c r="FL90" i="2"/>
  <c r="FM90" i="2"/>
  <c r="FN90" i="2"/>
  <c r="FO90" i="2" s="1"/>
  <c r="FP90" i="2"/>
  <c r="FQ90" i="2"/>
  <c r="FR90" i="2"/>
  <c r="L91" i="2"/>
  <c r="AS91" i="2"/>
  <c r="BA91" i="2"/>
  <c r="BC91" i="2"/>
  <c r="BK91" i="2"/>
  <c r="CG91" i="2"/>
  <c r="CN91" i="2"/>
  <c r="DB91" i="2"/>
  <c r="DL91" i="2"/>
  <c r="DS91" i="2"/>
  <c r="DW91" i="2"/>
  <c r="DX91" i="2"/>
  <c r="EJ91" i="2" s="1"/>
  <c r="DY91" i="2"/>
  <c r="EA91" i="2"/>
  <c r="ED91" i="2"/>
  <c r="FM91" i="2" s="1"/>
  <c r="EE91" i="2"/>
  <c r="EL91" i="2"/>
  <c r="EW91" i="2"/>
  <c r="FG91" i="2"/>
  <c r="FH91" i="2" s="1"/>
  <c r="FI91" i="2"/>
  <c r="FJ91" i="2"/>
  <c r="FK91" i="2"/>
  <c r="FL91" i="2"/>
  <c r="FN91" i="2"/>
  <c r="FO91" i="2" s="1"/>
  <c r="FP91" i="2"/>
  <c r="FQ91" i="2"/>
  <c r="FR91" i="2"/>
  <c r="L92" i="2"/>
  <c r="AS92" i="2"/>
  <c r="BA92" i="2"/>
  <c r="BB92" i="2"/>
  <c r="BK92" i="2"/>
  <c r="CG92" i="2"/>
  <c r="CN92" i="2"/>
  <c r="DB92" i="2"/>
  <c r="DL92" i="2"/>
  <c r="DS92" i="2"/>
  <c r="DW92" i="2"/>
  <c r="DX92" i="2"/>
  <c r="EJ92" i="2" s="1"/>
  <c r="DY92" i="2"/>
  <c r="EA92" i="2"/>
  <c r="ED92" i="2"/>
  <c r="FM92" i="2" s="1"/>
  <c r="EE92" i="2"/>
  <c r="EL92" i="2"/>
  <c r="EW92" i="2"/>
  <c r="FG92" i="2"/>
  <c r="FH92" i="2" s="1"/>
  <c r="FI92" i="2"/>
  <c r="FJ92" i="2"/>
  <c r="FK92" i="2"/>
  <c r="FL92" i="2" s="1"/>
  <c r="FN92" i="2"/>
  <c r="FO92" i="2" s="1"/>
  <c r="FP92" i="2"/>
  <c r="FQ92" i="2"/>
  <c r="FR92" i="2" s="1"/>
  <c r="L93" i="2"/>
  <c r="AS93" i="2"/>
  <c r="BC93" i="2"/>
  <c r="BD93" i="2"/>
  <c r="BK93" i="2"/>
  <c r="CG93" i="2"/>
  <c r="CN93" i="2"/>
  <c r="DB93" i="2"/>
  <c r="DL93" i="2"/>
  <c r="DS93" i="2"/>
  <c r="DW93" i="2"/>
  <c r="DX93" i="2"/>
  <c r="DY93" i="2"/>
  <c r="EA93" i="2"/>
  <c r="ED93" i="2"/>
  <c r="EE93" i="2"/>
  <c r="FN93" i="2" s="1"/>
  <c r="FO93" i="2" s="1"/>
  <c r="EJ93" i="2"/>
  <c r="EL93" i="2"/>
  <c r="EW93" i="2"/>
  <c r="FG93" i="2"/>
  <c r="FH93" i="2" s="1"/>
  <c r="FI93" i="2"/>
  <c r="FJ93" i="2"/>
  <c r="FK93" i="2"/>
  <c r="FL93" i="2"/>
  <c r="FM93" i="2"/>
  <c r="FP93" i="2"/>
  <c r="FQ93" i="2"/>
  <c r="FR93" i="2" s="1"/>
  <c r="L94" i="2"/>
  <c r="BA94" i="2"/>
  <c r="BC94" i="2"/>
  <c r="BK94" i="2"/>
  <c r="CG94" i="2"/>
  <c r="CN94" i="2"/>
  <c r="DB94" i="2"/>
  <c r="DL94" i="2"/>
  <c r="DS94" i="2"/>
  <c r="DW94" i="2"/>
  <c r="DX94" i="2"/>
  <c r="EJ94" i="2" s="1"/>
  <c r="DY94" i="2"/>
  <c r="EA94" i="2"/>
  <c r="ED94" i="2"/>
  <c r="FM94" i="2" s="1"/>
  <c r="EL94" i="2"/>
  <c r="EW94" i="2"/>
  <c r="FG94" i="2"/>
  <c r="FH94" i="2" s="1"/>
  <c r="FI94" i="2"/>
  <c r="FJ94" i="2"/>
  <c r="FK94" i="2"/>
  <c r="FL94" i="2" s="1"/>
  <c r="FN94" i="2"/>
  <c r="FO94" i="2" s="1"/>
  <c r="FP94" i="2"/>
  <c r="FQ94" i="2"/>
  <c r="FR94" i="2" s="1"/>
  <c r="L95" i="2"/>
  <c r="CG95" i="2"/>
  <c r="CN95" i="2"/>
  <c r="DB95" i="2"/>
  <c r="DL95" i="2"/>
  <c r="FI95" i="2" s="1"/>
  <c r="DW95" i="2"/>
  <c r="DX95" i="2"/>
  <c r="DY95" i="2"/>
  <c r="ED95" i="2"/>
  <c r="EJ95" i="2"/>
  <c r="L96" i="2"/>
  <c r="BA96" i="2"/>
  <c r="CG96" i="2"/>
  <c r="CN96" i="2"/>
  <c r="DB96" i="2"/>
  <c r="DL96" i="2"/>
  <c r="FI96" i="2" s="1"/>
  <c r="DW96" i="2"/>
  <c r="DX96" i="2"/>
  <c r="DY96" i="2"/>
  <c r="ED96" i="2"/>
  <c r="EJ96" i="2"/>
  <c r="L97" i="2"/>
  <c r="AS97" i="2"/>
  <c r="BA97" i="2"/>
  <c r="BK97" i="2"/>
  <c r="CG97" i="2"/>
  <c r="CN97" i="2"/>
  <c r="DB97" i="2"/>
  <c r="DL97" i="2"/>
  <c r="DS97" i="2"/>
  <c r="DW97" i="2"/>
  <c r="DX97" i="2"/>
  <c r="EJ97" i="2" s="1"/>
  <c r="DY97" i="2"/>
  <c r="EA97" i="2"/>
  <c r="ED97" i="2"/>
  <c r="EL97" i="2"/>
  <c r="EW97" i="2"/>
  <c r="FG97" i="2"/>
  <c r="FH97" i="2" s="1"/>
  <c r="FI97" i="2"/>
  <c r="FJ97" i="2"/>
  <c r="FK97" i="2"/>
  <c r="FL97" i="2"/>
  <c r="FP97" i="2"/>
  <c r="FQ97" i="2"/>
  <c r="FR97" i="2"/>
  <c r="L98" i="2"/>
  <c r="AS98" i="2"/>
  <c r="BA98" i="2"/>
  <c r="BC98" i="2"/>
  <c r="BD98" i="2"/>
  <c r="BK98" i="2"/>
  <c r="CG98" i="2"/>
  <c r="CN98" i="2"/>
  <c r="DB98" i="2"/>
  <c r="DL98" i="2"/>
  <c r="DS98" i="2"/>
  <c r="DW98" i="2"/>
  <c r="DX98" i="2"/>
  <c r="EJ98" i="2" s="1"/>
  <c r="DY98" i="2"/>
  <c r="EA98" i="2"/>
  <c r="ED98" i="2"/>
  <c r="EL98" i="2"/>
  <c r="EW98" i="2"/>
  <c r="FG98" i="2"/>
  <c r="FH98" i="2"/>
  <c r="FI98" i="2"/>
  <c r="FJ98" i="2"/>
  <c r="FK98" i="2"/>
  <c r="FL98" i="2"/>
  <c r="FP98" i="2"/>
  <c r="FQ98" i="2"/>
  <c r="FR98" i="2"/>
  <c r="L99" i="2"/>
  <c r="AS99" i="2"/>
  <c r="BA99" i="2"/>
  <c r="BC99" i="2"/>
  <c r="BK99" i="2"/>
  <c r="CG99" i="2"/>
  <c r="CN99" i="2"/>
  <c r="DB99" i="2"/>
  <c r="DL99" i="2"/>
  <c r="DS99" i="2" s="1"/>
  <c r="DW99" i="2"/>
  <c r="DX99" i="2"/>
  <c r="DY99" i="2"/>
  <c r="EA99" i="2"/>
  <c r="ED99" i="2"/>
  <c r="EE99" i="2"/>
  <c r="EJ99" i="2"/>
  <c r="EL99" i="2"/>
  <c r="EW99" i="2"/>
  <c r="FG99" i="2"/>
  <c r="FH99" i="2"/>
  <c r="FI99" i="2"/>
  <c r="FJ99" i="2"/>
  <c r="FK99" i="2"/>
  <c r="FL99" i="2" s="1"/>
  <c r="FM99" i="2"/>
  <c r="FN99" i="2"/>
  <c r="FO99" i="2" s="1"/>
  <c r="FP99" i="2"/>
  <c r="FQ99" i="2"/>
  <c r="FR99" i="2" s="1"/>
  <c r="L100" i="2"/>
  <c r="AS100" i="2"/>
  <c r="BA100" i="2"/>
  <c r="BC100" i="2"/>
  <c r="BD100" i="2"/>
  <c r="BK100" i="2"/>
  <c r="CG100" i="2"/>
  <c r="CN100" i="2"/>
  <c r="DB100" i="2"/>
  <c r="DL100" i="2"/>
  <c r="DS100" i="2"/>
  <c r="DW100" i="2"/>
  <c r="DX100" i="2"/>
  <c r="DY100" i="2"/>
  <c r="EA100" i="2"/>
  <c r="ED100" i="2"/>
  <c r="FM100" i="2" s="1"/>
  <c r="EE100" i="2"/>
  <c r="FN100" i="2" s="1"/>
  <c r="FO100" i="2" s="1"/>
  <c r="EJ100" i="2"/>
  <c r="EL100" i="2"/>
  <c r="EW100" i="2"/>
  <c r="FG100" i="2"/>
  <c r="FH100" i="2"/>
  <c r="FI100" i="2"/>
  <c r="FJ100" i="2"/>
  <c r="FK100" i="2"/>
  <c r="FL100" i="2"/>
  <c r="FP100" i="2"/>
  <c r="FQ100" i="2"/>
  <c r="FR100" i="2" s="1"/>
  <c r="L101" i="2"/>
  <c r="AS101" i="2"/>
  <c r="BA101" i="2"/>
  <c r="BC101" i="2"/>
  <c r="BK101" i="2"/>
  <c r="CG101" i="2"/>
  <c r="CN101" i="2"/>
  <c r="DB101" i="2"/>
  <c r="DL101" i="2"/>
  <c r="DS101" i="2" s="1"/>
  <c r="DW101" i="2"/>
  <c r="DX101" i="2"/>
  <c r="EJ101" i="2" s="1"/>
  <c r="DY101" i="2"/>
  <c r="EA101" i="2"/>
  <c r="ED101" i="2"/>
  <c r="FM101" i="2" s="1"/>
  <c r="EE101" i="2"/>
  <c r="EL101" i="2"/>
  <c r="EW101" i="2"/>
  <c r="FG101" i="2"/>
  <c r="FH101" i="2"/>
  <c r="FI101" i="2"/>
  <c r="FJ101" i="2"/>
  <c r="FK101" i="2"/>
  <c r="FL101" i="2" s="1"/>
  <c r="FN101" i="2"/>
  <c r="FO101" i="2" s="1"/>
  <c r="FP101" i="2"/>
  <c r="FQ101" i="2"/>
  <c r="FR101" i="2" s="1"/>
  <c r="L102" i="2"/>
  <c r="BA102" i="2"/>
  <c r="BD102" i="2"/>
  <c r="CG102" i="2"/>
  <c r="CN102" i="2"/>
  <c r="DB102" i="2"/>
  <c r="DL102" i="2"/>
  <c r="EA102" i="2" s="1"/>
  <c r="DS102" i="2"/>
  <c r="DW102" i="2"/>
  <c r="DX102" i="2"/>
  <c r="DY102" i="2"/>
  <c r="ED102" i="2"/>
  <c r="FN102" i="2" s="1"/>
  <c r="FO102" i="2" s="1"/>
  <c r="EJ102" i="2"/>
  <c r="EL102" i="2"/>
  <c r="EW102" i="2"/>
  <c r="FG102" i="2"/>
  <c r="FH102" i="2" s="1"/>
  <c r="FI102" i="2"/>
  <c r="FJ102" i="2"/>
  <c r="FK102" i="2"/>
  <c r="FL102" i="2" s="1"/>
  <c r="FM102" i="2"/>
  <c r="FP102" i="2"/>
  <c r="FQ102" i="2"/>
  <c r="FR102" i="2"/>
  <c r="L103" i="2"/>
  <c r="AS103" i="2"/>
  <c r="BA103" i="2"/>
  <c r="BK103" i="2"/>
  <c r="CG103" i="2"/>
  <c r="CN103" i="2"/>
  <c r="DB103" i="2"/>
  <c r="DL103" i="2"/>
  <c r="DS103" i="2"/>
  <c r="DW103" i="2"/>
  <c r="DX103" i="2"/>
  <c r="DY103" i="2"/>
  <c r="EA103" i="2"/>
  <c r="ED103" i="2"/>
  <c r="EJ103" i="2"/>
  <c r="EL103" i="2"/>
  <c r="EW103" i="2"/>
  <c r="FG103" i="2"/>
  <c r="FH103" i="2"/>
  <c r="FI103" i="2"/>
  <c r="FJ103" i="2"/>
  <c r="FK103" i="2"/>
  <c r="FL103" i="2" s="1"/>
  <c r="FM103" i="2"/>
  <c r="FN103" i="2"/>
  <c r="FO103" i="2" s="1"/>
  <c r="FP103" i="2"/>
  <c r="FQ103" i="2"/>
  <c r="FR103" i="2" s="1"/>
  <c r="L104" i="2"/>
  <c r="AS104" i="2"/>
  <c r="BC104" i="2"/>
  <c r="BK104" i="2"/>
  <c r="CG104" i="2"/>
  <c r="CN104" i="2"/>
  <c r="DB104" i="2"/>
  <c r="DL104" i="2"/>
  <c r="EA104" i="2" s="1"/>
  <c r="DW104" i="2"/>
  <c r="DX104" i="2"/>
  <c r="EJ104" i="2" s="1"/>
  <c r="DY104" i="2"/>
  <c r="ED104" i="2"/>
  <c r="EL104" i="2"/>
  <c r="EW104" i="2"/>
  <c r="FG104" i="2"/>
  <c r="FH104" i="2"/>
  <c r="FI104" i="2"/>
  <c r="FJ104" i="2"/>
  <c r="FK104" i="2"/>
  <c r="FL104" i="2"/>
  <c r="FP104" i="2"/>
  <c r="FQ104" i="2"/>
  <c r="FR104" i="2"/>
  <c r="L105" i="2"/>
  <c r="AS105" i="2"/>
  <c r="BK105" i="2"/>
  <c r="CG105" i="2"/>
  <c r="CN105" i="2"/>
  <c r="DB105" i="2"/>
  <c r="DL105" i="2"/>
  <c r="DS105" i="2" s="1"/>
  <c r="DW105" i="2"/>
  <c r="DX105" i="2"/>
  <c r="DY105" i="2"/>
  <c r="EA105" i="2"/>
  <c r="ED105" i="2"/>
  <c r="EE105" i="2"/>
  <c r="FN105" i="2" s="1"/>
  <c r="EJ105" i="2"/>
  <c r="EL105" i="2"/>
  <c r="EW105" i="2"/>
  <c r="FG105" i="2"/>
  <c r="FH105" i="2" s="1"/>
  <c r="FI105" i="2"/>
  <c r="FJ105" i="2"/>
  <c r="FK105" i="2"/>
  <c r="FL105" i="2"/>
  <c r="FM105" i="2"/>
  <c r="FO105" i="2"/>
  <c r="FP105" i="2"/>
  <c r="FQ105" i="2"/>
  <c r="FR105" i="2"/>
  <c r="L106" i="2"/>
  <c r="AS106" i="2"/>
  <c r="BK106" i="2"/>
  <c r="CG106" i="2"/>
  <c r="CN106" i="2"/>
  <c r="DB106" i="2"/>
  <c r="DL106" i="2"/>
  <c r="DS106" i="2" s="1"/>
  <c r="DW106" i="2"/>
  <c r="DX106" i="2"/>
  <c r="DY106" i="2"/>
  <c r="EA106" i="2"/>
  <c r="ED106" i="2"/>
  <c r="FM106" i="2" s="1"/>
  <c r="EJ106" i="2"/>
  <c r="EL106" i="2"/>
  <c r="EW106" i="2"/>
  <c r="FG106" i="2"/>
  <c r="FH106" i="2"/>
  <c r="FI106" i="2"/>
  <c r="FJ106" i="2"/>
  <c r="FK106" i="2"/>
  <c r="FL106" i="2" s="1"/>
  <c r="FP106" i="2"/>
  <c r="FQ106" i="2"/>
  <c r="FR106" i="2"/>
  <c r="L107" i="2"/>
  <c r="AS107" i="2"/>
  <c r="BD107" i="2"/>
  <c r="BK107" i="2"/>
  <c r="CG107" i="2"/>
  <c r="CN107" i="2"/>
  <c r="DB107" i="2"/>
  <c r="DL107" i="2"/>
  <c r="EA107" i="2" s="1"/>
  <c r="DS107" i="2"/>
  <c r="DW107" i="2"/>
  <c r="DX107" i="2"/>
  <c r="DY107" i="2"/>
  <c r="ED107" i="2"/>
  <c r="FN107" i="2" s="1"/>
  <c r="FO107" i="2" s="1"/>
  <c r="EJ107" i="2"/>
  <c r="EL107" i="2"/>
  <c r="EW107" i="2"/>
  <c r="FG107" i="2"/>
  <c r="FH107" i="2" s="1"/>
  <c r="FI107" i="2"/>
  <c r="FJ107" i="2"/>
  <c r="FK107" i="2"/>
  <c r="FL107" i="2" s="1"/>
  <c r="FM107" i="2"/>
  <c r="FP107" i="2"/>
  <c r="FQ107" i="2"/>
  <c r="FR107" i="2"/>
  <c r="L108" i="2"/>
  <c r="CG108" i="2"/>
  <c r="CN108" i="2"/>
  <c r="DB108" i="2"/>
  <c r="DL108" i="2"/>
  <c r="DW108" i="2"/>
  <c r="DX108" i="2"/>
  <c r="EJ108" i="2" s="1"/>
  <c r="DY108" i="2"/>
  <c r="ED108" i="2"/>
  <c r="FI108" i="2"/>
  <c r="L109" i="2"/>
  <c r="AS109" i="2"/>
  <c r="BA109" i="2"/>
  <c r="BB109" i="2"/>
  <c r="BC109" i="2"/>
  <c r="BK109" i="2"/>
  <c r="CG109" i="2"/>
  <c r="CN109" i="2"/>
  <c r="DB109" i="2"/>
  <c r="DL109" i="2"/>
  <c r="EA109" i="2" s="1"/>
  <c r="DS109" i="2"/>
  <c r="DW109" i="2"/>
  <c r="DX109" i="2"/>
  <c r="EJ109" i="2" s="1"/>
  <c r="DY109" i="2"/>
  <c r="ED109" i="2"/>
  <c r="EL109" i="2"/>
  <c r="EW109" i="2"/>
  <c r="FG109" i="2"/>
  <c r="FH109" i="2" s="1"/>
  <c r="FI109" i="2"/>
  <c r="FJ109" i="2"/>
  <c r="FK109" i="2"/>
  <c r="FL109" i="2"/>
  <c r="FP109" i="2"/>
  <c r="FQ109" i="2"/>
  <c r="FR109" i="2" s="1"/>
  <c r="L110" i="2"/>
  <c r="AS110" i="2"/>
  <c r="BA110" i="2"/>
  <c r="BC110" i="2"/>
  <c r="BK110" i="2"/>
  <c r="CG110" i="2"/>
  <c r="CN110" i="2"/>
  <c r="DB110" i="2"/>
  <c r="DL110" i="2"/>
  <c r="EA110" i="2" s="1"/>
  <c r="DW110" i="2"/>
  <c r="DX110" i="2"/>
  <c r="DY110" i="2"/>
  <c r="ED110" i="2"/>
  <c r="FN110" i="2" s="1"/>
  <c r="FO110" i="2" s="1"/>
  <c r="EJ110" i="2"/>
  <c r="EL110" i="2"/>
  <c r="EW110" i="2"/>
  <c r="FG110" i="2"/>
  <c r="FH110" i="2" s="1"/>
  <c r="FI110" i="2"/>
  <c r="FJ110" i="2"/>
  <c r="FK110" i="2"/>
  <c r="FL110" i="2" s="1"/>
  <c r="FM110" i="2"/>
  <c r="FP110" i="2"/>
  <c r="FQ110" i="2"/>
  <c r="FR110" i="2"/>
  <c r="L111" i="2"/>
  <c r="AS111" i="2"/>
  <c r="BA111" i="2"/>
  <c r="BC111" i="2"/>
  <c r="BK111" i="2"/>
  <c r="CG111" i="2"/>
  <c r="CN111" i="2"/>
  <c r="DB111" i="2"/>
  <c r="DL111" i="2"/>
  <c r="EA111" i="2" s="1"/>
  <c r="DS111" i="2"/>
  <c r="DW111" i="2"/>
  <c r="DX111" i="2"/>
  <c r="EJ111" i="2" s="1"/>
  <c r="DY111" i="2"/>
  <c r="ED111" i="2"/>
  <c r="EL111" i="2"/>
  <c r="EW111" i="2"/>
  <c r="FG111" i="2"/>
  <c r="FH111" i="2" s="1"/>
  <c r="FI111" i="2"/>
  <c r="FJ111" i="2"/>
  <c r="FK111" i="2"/>
  <c r="FL111" i="2"/>
  <c r="FP111" i="2"/>
  <c r="FQ111" i="2"/>
  <c r="FR111" i="2" s="1"/>
  <c r="L112" i="2"/>
  <c r="AS112" i="2"/>
  <c r="BK112" i="2"/>
  <c r="CG112" i="2"/>
  <c r="CN112" i="2"/>
  <c r="DB112" i="2"/>
  <c r="DL112" i="2"/>
  <c r="DS112" i="2" s="1"/>
  <c r="DW112" i="2"/>
  <c r="DX112" i="2"/>
  <c r="EJ112" i="2" s="1"/>
  <c r="DY112" i="2"/>
  <c r="EA112" i="2"/>
  <c r="ED112" i="2"/>
  <c r="FN112" i="2" s="1"/>
  <c r="EL112" i="2"/>
  <c r="EW112" i="2"/>
  <c r="FG112" i="2"/>
  <c r="FH112" i="2"/>
  <c r="FI112" i="2"/>
  <c r="FJ112" i="2"/>
  <c r="FK112" i="2"/>
  <c r="FL112" i="2" s="1"/>
  <c r="FM112" i="2"/>
  <c r="FO112" i="2"/>
  <c r="FP112" i="2"/>
  <c r="FQ112" i="2"/>
  <c r="FR112" i="2"/>
  <c r="L113" i="2"/>
  <c r="AS113" i="2"/>
  <c r="BA113" i="2"/>
  <c r="BC113" i="2"/>
  <c r="BK113" i="2"/>
  <c r="CG113" i="2"/>
  <c r="CN113" i="2"/>
  <c r="DB113" i="2"/>
  <c r="DL113" i="2"/>
  <c r="DS113" i="2" s="1"/>
  <c r="DW113" i="2"/>
  <c r="DX113" i="2"/>
  <c r="EJ113" i="2" s="1"/>
  <c r="DY113" i="2"/>
  <c r="EA113" i="2"/>
  <c r="ED113" i="2"/>
  <c r="EL113" i="2"/>
  <c r="EW113" i="2"/>
  <c r="FG113" i="2"/>
  <c r="FH113" i="2" s="1"/>
  <c r="FJ113" i="2"/>
  <c r="FK113" i="2"/>
  <c r="FL113" i="2"/>
  <c r="FM113" i="2"/>
  <c r="FN113" i="2"/>
  <c r="FO113" i="2" s="1"/>
  <c r="FP113" i="2"/>
  <c r="FQ113" i="2"/>
  <c r="FR113" i="2" s="1"/>
  <c r="L114" i="2"/>
  <c r="AS114" i="2"/>
  <c r="BK114" i="2"/>
  <c r="CG114" i="2"/>
  <c r="CN114" i="2"/>
  <c r="DB114" i="2"/>
  <c r="DL114" i="2"/>
  <c r="DS114" i="2"/>
  <c r="DW114" i="2"/>
  <c r="DX114" i="2"/>
  <c r="DY114" i="2"/>
  <c r="EA114" i="2"/>
  <c r="ED114" i="2"/>
  <c r="FM114" i="2" s="1"/>
  <c r="EJ114" i="2"/>
  <c r="EL114" i="2"/>
  <c r="EW114" i="2"/>
  <c r="FG114" i="2"/>
  <c r="FH114" i="2"/>
  <c r="FI114" i="2"/>
  <c r="FJ114" i="2"/>
  <c r="FK114" i="2"/>
  <c r="FL114" i="2" s="1"/>
  <c r="FN114" i="2"/>
  <c r="FO114" i="2" s="1"/>
  <c r="FP114" i="2"/>
  <c r="FQ114" i="2"/>
  <c r="FR114" i="2" s="1"/>
  <c r="L115" i="2"/>
  <c r="AS115" i="2"/>
  <c r="BK115" i="2"/>
  <c r="CG115" i="2"/>
  <c r="CN115" i="2"/>
  <c r="DB115" i="2"/>
  <c r="DL115" i="2"/>
  <c r="DS115" i="2"/>
  <c r="DW115" i="2"/>
  <c r="DX115" i="2"/>
  <c r="DY115" i="2"/>
  <c r="ED115" i="2"/>
  <c r="FN115" i="2" s="1"/>
  <c r="FO115" i="2" s="1"/>
  <c r="EJ115" i="2"/>
  <c r="EW115" i="2"/>
  <c r="FG115" i="2"/>
  <c r="FH115" i="2" s="1"/>
  <c r="FI115" i="2"/>
  <c r="FJ115" i="2"/>
  <c r="FK115" i="2"/>
  <c r="FL115" i="2" s="1"/>
  <c r="FM115" i="2"/>
  <c r="FP115" i="2"/>
  <c r="FQ115" i="2"/>
  <c r="FR115" i="2"/>
  <c r="L116" i="2"/>
  <c r="AS116" i="2"/>
  <c r="BA116" i="2"/>
  <c r="BC116" i="2"/>
  <c r="BK116" i="2"/>
  <c r="CG116" i="2"/>
  <c r="CN116" i="2"/>
  <c r="DB116" i="2"/>
  <c r="DL116" i="2"/>
  <c r="EA116" i="2" s="1"/>
  <c r="DS116" i="2"/>
  <c r="DW116" i="2"/>
  <c r="DX116" i="2"/>
  <c r="EJ116" i="2" s="1"/>
  <c r="DY116" i="2"/>
  <c r="ED116" i="2"/>
  <c r="EL116" i="2"/>
  <c r="EW116" i="2"/>
  <c r="FG116" i="2"/>
  <c r="FH116" i="2" s="1"/>
  <c r="FI116" i="2"/>
  <c r="FJ116" i="2"/>
  <c r="FK116" i="2"/>
  <c r="FL116" i="2"/>
  <c r="FP116" i="2"/>
  <c r="FQ116" i="2"/>
  <c r="FR116" i="2" s="1"/>
  <c r="L117" i="2"/>
  <c r="AS117" i="2"/>
  <c r="BC117" i="2"/>
  <c r="BK117" i="2"/>
  <c r="CG117" i="2"/>
  <c r="CN117" i="2"/>
  <c r="DB117" i="2"/>
  <c r="DL117" i="2"/>
  <c r="DS117" i="2"/>
  <c r="DW117" i="2"/>
  <c r="DX117" i="2"/>
  <c r="EJ117" i="2" s="1"/>
  <c r="DY117" i="2"/>
  <c r="EA117" i="2"/>
  <c r="ED117" i="2"/>
  <c r="FM117" i="2" s="1"/>
  <c r="EL117" i="2"/>
  <c r="EW117" i="2"/>
  <c r="FG117" i="2"/>
  <c r="FH117" i="2" s="1"/>
  <c r="FI117" i="2"/>
  <c r="FJ117" i="2"/>
  <c r="FK117" i="2"/>
  <c r="FL117" i="2"/>
  <c r="FN117" i="2"/>
  <c r="FO117" i="2" s="1"/>
  <c r="FP117" i="2"/>
  <c r="FQ117" i="2"/>
  <c r="FR117" i="2" s="1"/>
  <c r="L118" i="2"/>
  <c r="AS118" i="2"/>
  <c r="BA118" i="2"/>
  <c r="BC118" i="2"/>
  <c r="BD118" i="2"/>
  <c r="BK118" i="2"/>
  <c r="CG118" i="2"/>
  <c r="CN118" i="2"/>
  <c r="DB118" i="2"/>
  <c r="DL118" i="2"/>
  <c r="EA118" i="2" s="1"/>
  <c r="DS118" i="2"/>
  <c r="DW118" i="2"/>
  <c r="DX118" i="2"/>
  <c r="EJ118" i="2" s="1"/>
  <c r="DY118" i="2"/>
  <c r="ED118" i="2"/>
  <c r="EL118" i="2"/>
  <c r="EW118" i="2"/>
  <c r="FG118" i="2"/>
  <c r="FH118" i="2" s="1"/>
  <c r="FI118" i="2"/>
  <c r="FJ118" i="2"/>
  <c r="FK118" i="2"/>
  <c r="FL118" i="2"/>
  <c r="FP118" i="2"/>
  <c r="FQ118" i="2"/>
  <c r="FR118" i="2" s="1"/>
  <c r="L119" i="2"/>
  <c r="AS119" i="2"/>
  <c r="BA119" i="2"/>
  <c r="BC119" i="2"/>
  <c r="BD119" i="2"/>
  <c r="BK119" i="2"/>
  <c r="CG119" i="2"/>
  <c r="CN119" i="2"/>
  <c r="DB119" i="2"/>
  <c r="DL119" i="2"/>
  <c r="DS119" i="2" s="1"/>
  <c r="DW119" i="2"/>
  <c r="DX119" i="2"/>
  <c r="DY119" i="2"/>
  <c r="EA119" i="2"/>
  <c r="ED119" i="2"/>
  <c r="FM119" i="2" s="1"/>
  <c r="EE119" i="2"/>
  <c r="EJ119" i="2"/>
  <c r="EL119" i="2"/>
  <c r="EW119" i="2"/>
  <c r="FG119" i="2"/>
  <c r="FH119" i="2"/>
  <c r="FI119" i="2"/>
  <c r="FJ119" i="2"/>
  <c r="FK119" i="2"/>
  <c r="FL119" i="2" s="1"/>
  <c r="FN119" i="2"/>
  <c r="FO119" i="2" s="1"/>
  <c r="FP119" i="2"/>
  <c r="FQ119" i="2"/>
  <c r="FR119" i="2"/>
  <c r="L120" i="2"/>
  <c r="CG120" i="2"/>
  <c r="CN120" i="2"/>
  <c r="DB120" i="2"/>
  <c r="DL120" i="2"/>
  <c r="DW120" i="2"/>
  <c r="DX120" i="2"/>
  <c r="DY120" i="2"/>
  <c r="ED120" i="2"/>
  <c r="EJ120" i="2"/>
  <c r="FI120" i="2"/>
  <c r="L121" i="2"/>
  <c r="BA121" i="2"/>
  <c r="BC121" i="2"/>
  <c r="BK121" i="2"/>
  <c r="CG121" i="2"/>
  <c r="CN121" i="2"/>
  <c r="DB121" i="2"/>
  <c r="DL121" i="2"/>
  <c r="DS121" i="2"/>
  <c r="DW121" i="2"/>
  <c r="DX121" i="2"/>
  <c r="EJ121" i="2" s="1"/>
  <c r="DY121" i="2"/>
  <c r="EA121" i="2"/>
  <c r="ED121" i="2"/>
  <c r="EL121" i="2"/>
  <c r="EW121" i="2"/>
  <c r="FG121" i="2"/>
  <c r="FH121" i="2" s="1"/>
  <c r="FI121" i="2"/>
  <c r="FJ121" i="2"/>
  <c r="FK121" i="2"/>
  <c r="FL121" i="2"/>
  <c r="FP121" i="2"/>
  <c r="FQ121" i="2"/>
  <c r="FR121" i="2" s="1"/>
  <c r="L122" i="2"/>
  <c r="BA122" i="2"/>
  <c r="BB122" i="2"/>
  <c r="BK122" i="2"/>
  <c r="CG122" i="2"/>
  <c r="CN122" i="2"/>
  <c r="DB122" i="2"/>
  <c r="DL122" i="2"/>
  <c r="EL122" i="2" s="1"/>
  <c r="DS122" i="2"/>
  <c r="DW122" i="2"/>
  <c r="DX122" i="2"/>
  <c r="EJ122" i="2" s="1"/>
  <c r="DY122" i="2"/>
  <c r="EA122" i="2"/>
  <c r="ED122" i="2"/>
  <c r="EW122" i="2"/>
  <c r="FG122" i="2"/>
  <c r="FH122" i="2" s="1"/>
  <c r="FI122" i="2"/>
  <c r="FJ122" i="2"/>
  <c r="FK122" i="2"/>
  <c r="FL122" i="2"/>
  <c r="FM122" i="2"/>
  <c r="FN122" i="2"/>
  <c r="FO122" i="2" s="1"/>
  <c r="FP122" i="2"/>
  <c r="FQ122" i="2"/>
  <c r="FR122" i="2"/>
  <c r="L123" i="2"/>
  <c r="AS123" i="2"/>
  <c r="BK123" i="2"/>
  <c r="CG123" i="2"/>
  <c r="CN123" i="2"/>
  <c r="DB123" i="2"/>
  <c r="DL123" i="2"/>
  <c r="DS123" i="2"/>
  <c r="DW123" i="2"/>
  <c r="DX123" i="2"/>
  <c r="DY123" i="2"/>
  <c r="EA123" i="2"/>
  <c r="ED123" i="2"/>
  <c r="EJ123" i="2"/>
  <c r="EL123" i="2"/>
  <c r="EW123" i="2"/>
  <c r="FG123" i="2"/>
  <c r="FH123" i="2" s="1"/>
  <c r="FI123" i="2"/>
  <c r="FJ123" i="2"/>
  <c r="FK123" i="2"/>
  <c r="FL123" i="2" s="1"/>
  <c r="FM123" i="2"/>
  <c r="FN123" i="2"/>
  <c r="FO123" i="2" s="1"/>
  <c r="FP123" i="2"/>
  <c r="FQ123" i="2"/>
  <c r="FR123" i="2"/>
  <c r="L124" i="2"/>
  <c r="AS124" i="2"/>
  <c r="BD124" i="2"/>
  <c r="BK124" i="2"/>
  <c r="CG124" i="2"/>
  <c r="CN124" i="2"/>
  <c r="DB124" i="2"/>
  <c r="DL124" i="2"/>
  <c r="DS124" i="2" s="1"/>
  <c r="DW124" i="2"/>
  <c r="DX124" i="2"/>
  <c r="EJ124" i="2" s="1"/>
  <c r="DY124" i="2"/>
  <c r="EA124" i="2"/>
  <c r="ED124" i="2"/>
  <c r="EL124" i="2"/>
  <c r="EW124" i="2"/>
  <c r="FG124" i="2"/>
  <c r="FH124" i="2" s="1"/>
  <c r="FI124" i="2"/>
  <c r="FJ124" i="2"/>
  <c r="FK124" i="2"/>
  <c r="FL124" i="2" s="1"/>
  <c r="FM124" i="2"/>
  <c r="FN124" i="2"/>
  <c r="FO124" i="2" s="1"/>
  <c r="FP124" i="2"/>
  <c r="FQ124" i="2"/>
  <c r="FR124" i="2"/>
  <c r="L125" i="2"/>
  <c r="BA125" i="2"/>
  <c r="BC125" i="2"/>
  <c r="BD125" i="2"/>
  <c r="BK125" i="2"/>
  <c r="CG125" i="2"/>
  <c r="CN125" i="2"/>
  <c r="DB125" i="2"/>
  <c r="DL125" i="2"/>
  <c r="DS125" i="2" s="1"/>
  <c r="DW125" i="2"/>
  <c r="DX125" i="2"/>
  <c r="DY125" i="2"/>
  <c r="EA125" i="2"/>
  <c r="ED125" i="2"/>
  <c r="FM125" i="2" s="1"/>
  <c r="EE125" i="2"/>
  <c r="EJ125" i="2"/>
  <c r="EL125" i="2"/>
  <c r="EW125" i="2"/>
  <c r="FG125" i="2"/>
  <c r="FH125" i="2" s="1"/>
  <c r="FI125" i="2"/>
  <c r="FJ125" i="2"/>
  <c r="FK125" i="2"/>
  <c r="FL125" i="2" s="1"/>
  <c r="FN125" i="2"/>
  <c r="FO125" i="2" s="1"/>
  <c r="FP125" i="2"/>
  <c r="FQ125" i="2"/>
  <c r="FR125" i="2"/>
  <c r="L126" i="2"/>
  <c r="BA126" i="2"/>
  <c r="BK126" i="2"/>
  <c r="CG126" i="2"/>
  <c r="CN126" i="2"/>
  <c r="DB126" i="2"/>
  <c r="DL126" i="2"/>
  <c r="DS126" i="2"/>
  <c r="DW126" i="2"/>
  <c r="DX126" i="2"/>
  <c r="EJ126" i="2" s="1"/>
  <c r="DY126" i="2"/>
  <c r="EA126" i="2"/>
  <c r="ED126" i="2"/>
  <c r="EL126" i="2"/>
  <c r="EW126" i="2"/>
  <c r="FG126" i="2"/>
  <c r="FH126" i="2" s="1"/>
  <c r="FI126" i="2"/>
  <c r="FJ126" i="2"/>
  <c r="FK126" i="2"/>
  <c r="FL126" i="2"/>
  <c r="FM126" i="2"/>
  <c r="FN126" i="2"/>
  <c r="FO126" i="2" s="1"/>
  <c r="FP126" i="2"/>
  <c r="FQ126" i="2"/>
  <c r="FR126" i="2" s="1"/>
  <c r="L127" i="2"/>
  <c r="AS127" i="2"/>
  <c r="BA127" i="2"/>
  <c r="BK127" i="2"/>
  <c r="CG127" i="2"/>
  <c r="CN127" i="2"/>
  <c r="DB127" i="2"/>
  <c r="DL127" i="2"/>
  <c r="DS127" i="2" s="1"/>
  <c r="DW127" i="2"/>
  <c r="DX127" i="2"/>
  <c r="DY127" i="2"/>
  <c r="ED127" i="2"/>
  <c r="FM127" i="2" s="1"/>
  <c r="EJ127" i="2"/>
  <c r="EW127" i="2"/>
  <c r="FG127" i="2"/>
  <c r="FH127" i="2" s="1"/>
  <c r="FI127" i="2"/>
  <c r="FJ127" i="2"/>
  <c r="FK127" i="2"/>
  <c r="FL127" i="2" s="1"/>
  <c r="FN127" i="2"/>
  <c r="FO127" i="2" s="1"/>
  <c r="FP127" i="2"/>
  <c r="FQ127" i="2"/>
  <c r="FR127" i="2" s="1"/>
  <c r="L128" i="2"/>
  <c r="BA128" i="2"/>
  <c r="BC128" i="2"/>
  <c r="BK128" i="2"/>
  <c r="CG128" i="2"/>
  <c r="CN128" i="2"/>
  <c r="DB128" i="2"/>
  <c r="DL128" i="2"/>
  <c r="EL128" i="2" s="1"/>
  <c r="DW128" i="2"/>
  <c r="DX128" i="2"/>
  <c r="DY128" i="2"/>
  <c r="EA128" i="2"/>
  <c r="ED128" i="2"/>
  <c r="FM128" i="2" s="1"/>
  <c r="EJ128" i="2"/>
  <c r="EW128" i="2"/>
  <c r="FG128" i="2"/>
  <c r="FH128" i="2" s="1"/>
  <c r="FI128" i="2"/>
  <c r="FJ128" i="2"/>
  <c r="FK128" i="2"/>
  <c r="FL128" i="2"/>
  <c r="FN128" i="2"/>
  <c r="FO128" i="2" s="1"/>
  <c r="FP128" i="2"/>
  <c r="FQ128" i="2"/>
  <c r="FR128" i="2" s="1"/>
  <c r="L129" i="2"/>
  <c r="AS129" i="2"/>
  <c r="BA129" i="2"/>
  <c r="BK129" i="2"/>
  <c r="BX129" i="2"/>
  <c r="CG129" i="2"/>
  <c r="CN129" i="2"/>
  <c r="DB129" i="2"/>
  <c r="DL129" i="2"/>
  <c r="EA129" i="2" s="1"/>
  <c r="DS129" i="2"/>
  <c r="DW129" i="2"/>
  <c r="DX129" i="2"/>
  <c r="DY129" i="2"/>
  <c r="ED129" i="2"/>
  <c r="FM129" i="2" s="1"/>
  <c r="EJ129" i="2"/>
  <c r="EL129" i="2"/>
  <c r="EW129" i="2"/>
  <c r="FG129" i="2"/>
  <c r="FH129" i="2"/>
  <c r="FI129" i="2"/>
  <c r="FJ129" i="2"/>
  <c r="FK129" i="2"/>
  <c r="FL129" i="2" s="1"/>
  <c r="FP129" i="2"/>
  <c r="FQ129" i="2"/>
  <c r="FR129" i="2"/>
  <c r="L130" i="2"/>
  <c r="AS130" i="2"/>
  <c r="BA130" i="2"/>
  <c r="BD130" i="2"/>
  <c r="BK130" i="2"/>
  <c r="CG130" i="2"/>
  <c r="DB130" i="2"/>
  <c r="DL130" i="2"/>
  <c r="DS130" i="2"/>
  <c r="DW130" i="2"/>
  <c r="DX130" i="2"/>
  <c r="DY130" i="2"/>
  <c r="EA130" i="2"/>
  <c r="ED130" i="2"/>
  <c r="FM130" i="2" s="1"/>
  <c r="EE130" i="2"/>
  <c r="EJ130" i="2"/>
  <c r="EL130" i="2"/>
  <c r="EW130" i="2"/>
  <c r="FG130" i="2"/>
  <c r="FH130" i="2" s="1"/>
  <c r="FI130" i="2"/>
  <c r="FJ130" i="2"/>
  <c r="FK130" i="2"/>
  <c r="FL130" i="2"/>
  <c r="FN130" i="2"/>
  <c r="FO130" i="2" s="1"/>
  <c r="FP130" i="2"/>
  <c r="FQ130" i="2"/>
  <c r="FR130" i="2" s="1"/>
  <c r="L131" i="2"/>
  <c r="AS131" i="2"/>
  <c r="BA131" i="2"/>
  <c r="BK131" i="2"/>
  <c r="CG131" i="2"/>
  <c r="CN131" i="2"/>
  <c r="DB131" i="2"/>
  <c r="DL131" i="2"/>
  <c r="DS131" i="2" s="1"/>
  <c r="DW131" i="2"/>
  <c r="DX131" i="2"/>
  <c r="DY131" i="2"/>
  <c r="EA131" i="2"/>
  <c r="ED131" i="2"/>
  <c r="EE131" i="2"/>
  <c r="FN131" i="2" s="1"/>
  <c r="FO131" i="2" s="1"/>
  <c r="EJ131" i="2"/>
  <c r="EL131" i="2"/>
  <c r="EW131" i="2"/>
  <c r="FG131" i="2"/>
  <c r="FH131" i="2"/>
  <c r="FI131" i="2"/>
  <c r="FJ131" i="2"/>
  <c r="FK131" i="2"/>
  <c r="FL131" i="2" s="1"/>
  <c r="FM131" i="2"/>
  <c r="FP131" i="2"/>
  <c r="FQ131" i="2"/>
  <c r="FR131" i="2"/>
  <c r="L132" i="2"/>
  <c r="AS132" i="2"/>
  <c r="BK132" i="2"/>
  <c r="CG132" i="2"/>
  <c r="CN132" i="2"/>
  <c r="DB132" i="2"/>
  <c r="DL132" i="2"/>
  <c r="DS132" i="2"/>
  <c r="DW132" i="2"/>
  <c r="DX132" i="2"/>
  <c r="DY132" i="2"/>
  <c r="EA132" i="2"/>
  <c r="ED132" i="2"/>
  <c r="EE132" i="2"/>
  <c r="FN132" i="2" s="1"/>
  <c r="FO132" i="2" s="1"/>
  <c r="EJ132" i="2"/>
  <c r="EL132" i="2"/>
  <c r="EW132" i="2"/>
  <c r="FG132" i="2"/>
  <c r="FH132" i="2" s="1"/>
  <c r="FI132" i="2"/>
  <c r="FJ132" i="2"/>
  <c r="FK132" i="2"/>
  <c r="FL132" i="2" s="1"/>
  <c r="FM132" i="2"/>
  <c r="FP132" i="2"/>
  <c r="FQ132" i="2"/>
  <c r="FR132" i="2" s="1"/>
  <c r="L133" i="2"/>
  <c r="AS133" i="2"/>
  <c r="BK133" i="2"/>
  <c r="CG133" i="2"/>
  <c r="CN133" i="2"/>
  <c r="DB133" i="2"/>
  <c r="DL133" i="2"/>
  <c r="DS133" i="2" s="1"/>
  <c r="DW133" i="2"/>
  <c r="DX133" i="2"/>
  <c r="EJ133" i="2" s="1"/>
  <c r="DY133" i="2"/>
  <c r="EA133" i="2"/>
  <c r="ED133" i="2"/>
  <c r="EL133" i="2"/>
  <c r="EW133" i="2"/>
  <c r="FG133" i="2"/>
  <c r="FH133" i="2" s="1"/>
  <c r="FI133" i="2"/>
  <c r="FJ133" i="2"/>
  <c r="FK133" i="2"/>
  <c r="FL133" i="2" s="1"/>
  <c r="FM133" i="2"/>
  <c r="FN133" i="2"/>
  <c r="FO133" i="2" s="1"/>
  <c r="FP133" i="2"/>
  <c r="FQ133" i="2"/>
  <c r="FR133" i="2"/>
  <c r="L134" i="2"/>
  <c r="AS134" i="2"/>
  <c r="BK134" i="2"/>
  <c r="CG134" i="2"/>
  <c r="CN134" i="2"/>
  <c r="DB134" i="2"/>
  <c r="DL134" i="2"/>
  <c r="DS134" i="2" s="1"/>
  <c r="DW134" i="2"/>
  <c r="DX134" i="2"/>
  <c r="EJ134" i="2" s="1"/>
  <c r="DY134" i="2"/>
  <c r="ED134" i="2"/>
  <c r="FM134" i="2" s="1"/>
  <c r="EW134" i="2"/>
  <c r="FG134" i="2"/>
  <c r="FH134" i="2" s="1"/>
  <c r="FI134" i="2"/>
  <c r="FJ134" i="2"/>
  <c r="FK134" i="2"/>
  <c r="FL134" i="2" s="1"/>
  <c r="FN134" i="2"/>
  <c r="FO134" i="2" s="1"/>
  <c r="FP134" i="2"/>
  <c r="FQ134" i="2"/>
  <c r="FR134" i="2" s="1"/>
  <c r="L135" i="2"/>
  <c r="AS135" i="2"/>
  <c r="BA135" i="2"/>
  <c r="BC135" i="2"/>
  <c r="BD135" i="2"/>
  <c r="BK135" i="2"/>
  <c r="CG135" i="2"/>
  <c r="CN135" i="2"/>
  <c r="DB135" i="2"/>
  <c r="DL135" i="2"/>
  <c r="DS135" i="2"/>
  <c r="DW135" i="2"/>
  <c r="DX135" i="2"/>
  <c r="EJ135" i="2" s="1"/>
  <c r="DY135" i="2"/>
  <c r="EA135" i="2"/>
  <c r="ED135" i="2"/>
  <c r="EL135" i="2"/>
  <c r="EW135" i="2"/>
  <c r="FG135" i="2"/>
  <c r="FH135" i="2" s="1"/>
  <c r="FI135" i="2"/>
  <c r="FJ135" i="2"/>
  <c r="FK135" i="2"/>
  <c r="FL135" i="2"/>
  <c r="FM135" i="2"/>
  <c r="FN135" i="2"/>
  <c r="FO135" i="2" s="1"/>
  <c r="FP135" i="2"/>
  <c r="FQ135" i="2"/>
  <c r="FR135" i="2" s="1"/>
  <c r="L136" i="2"/>
  <c r="AS136" i="2"/>
  <c r="BA136" i="2"/>
  <c r="BK136" i="2"/>
  <c r="CG136" i="2"/>
  <c r="CN136" i="2"/>
  <c r="DB136" i="2"/>
  <c r="DL136" i="2"/>
  <c r="DS136" i="2" s="1"/>
  <c r="DW136" i="2"/>
  <c r="DX136" i="2"/>
  <c r="EJ136" i="2" s="1"/>
  <c r="DY136" i="2"/>
  <c r="ED136" i="2"/>
  <c r="FM136" i="2" s="1"/>
  <c r="EW136" i="2"/>
  <c r="FG136" i="2"/>
  <c r="FH136" i="2" s="1"/>
  <c r="FI136" i="2"/>
  <c r="FJ136" i="2"/>
  <c r="FK136" i="2"/>
  <c r="FL136" i="2" s="1"/>
  <c r="FN136" i="2"/>
  <c r="FO136" i="2" s="1"/>
  <c r="FP136" i="2"/>
  <c r="FQ136" i="2"/>
  <c r="FR136" i="2" s="1"/>
  <c r="L137" i="2"/>
  <c r="AS137" i="2"/>
  <c r="BA137" i="2"/>
  <c r="BK137" i="2"/>
  <c r="CG137" i="2"/>
  <c r="CN137" i="2"/>
  <c r="DB137" i="2"/>
  <c r="DL137" i="2"/>
  <c r="DS137" i="2" s="1"/>
  <c r="DW137" i="2"/>
  <c r="DX137" i="2"/>
  <c r="DY137" i="2"/>
  <c r="EA137" i="2"/>
  <c r="ED137" i="2"/>
  <c r="FM137" i="2" s="1"/>
  <c r="EJ137" i="2"/>
  <c r="EL137" i="2"/>
  <c r="EW137" i="2"/>
  <c r="FG137" i="2"/>
  <c r="FH137" i="2" s="1"/>
  <c r="FI137" i="2"/>
  <c r="FJ137" i="2"/>
  <c r="FK137" i="2"/>
  <c r="FL137" i="2"/>
  <c r="FN137" i="2"/>
  <c r="FO137" i="2" s="1"/>
  <c r="FP137" i="2"/>
  <c r="FQ137" i="2"/>
  <c r="FR137" i="2" s="1"/>
  <c r="L138" i="2"/>
  <c r="AS138" i="2"/>
  <c r="BC138" i="2"/>
  <c r="BK138" i="2"/>
  <c r="CG138" i="2"/>
  <c r="CN138" i="2"/>
  <c r="DB138" i="2"/>
  <c r="DL138" i="2"/>
  <c r="DS138" i="2" s="1"/>
  <c r="DW138" i="2"/>
  <c r="DX138" i="2"/>
  <c r="DY138" i="2"/>
  <c r="ED138" i="2"/>
  <c r="EJ138" i="2"/>
  <c r="EW138" i="2"/>
  <c r="FG138" i="2"/>
  <c r="FH138" i="2" s="1"/>
  <c r="FI138" i="2"/>
  <c r="FJ138" i="2"/>
  <c r="FK138" i="2"/>
  <c r="FL138" i="2" s="1"/>
  <c r="FM138" i="2"/>
  <c r="FN138" i="2"/>
  <c r="FO138" i="2" s="1"/>
  <c r="FP138" i="2"/>
  <c r="FQ138" i="2"/>
  <c r="FR138" i="2" s="1"/>
  <c r="L139" i="2"/>
  <c r="AS139" i="2"/>
  <c r="BB139" i="2"/>
  <c r="BC139" i="2"/>
  <c r="BK139" i="2"/>
  <c r="CG139" i="2"/>
  <c r="CN139" i="2"/>
  <c r="DB139" i="2"/>
  <c r="DL139" i="2"/>
  <c r="DS139" i="2"/>
  <c r="DW139" i="2"/>
  <c r="DX139" i="2"/>
  <c r="DY139" i="2"/>
  <c r="EA139" i="2"/>
  <c r="ED139" i="2"/>
  <c r="FN139" i="2" s="1"/>
  <c r="FO139" i="2" s="1"/>
  <c r="EJ139" i="2"/>
  <c r="EL139" i="2"/>
  <c r="EW139" i="2"/>
  <c r="FG139" i="2"/>
  <c r="FH139" i="2" s="1"/>
  <c r="FI139" i="2"/>
  <c r="FJ139" i="2"/>
  <c r="FK139" i="2"/>
  <c r="FL139" i="2" s="1"/>
  <c r="FP139" i="2"/>
  <c r="FQ139" i="2"/>
  <c r="FR139" i="2" s="1"/>
  <c r="L140" i="2"/>
  <c r="AS140" i="2"/>
  <c r="BA140" i="2"/>
  <c r="BK140" i="2"/>
  <c r="CG140" i="2"/>
  <c r="CN140" i="2"/>
  <c r="DB140" i="2"/>
  <c r="DL140" i="2"/>
  <c r="DS140" i="2"/>
  <c r="DW140" i="2"/>
  <c r="DX140" i="2"/>
  <c r="EJ140" i="2" s="1"/>
  <c r="DY140" i="2"/>
  <c r="EA140" i="2"/>
  <c r="ED140" i="2"/>
  <c r="EE140" i="2"/>
  <c r="EL140" i="2"/>
  <c r="EW140" i="2"/>
  <c r="FG140" i="2"/>
  <c r="FH140" i="2" s="1"/>
  <c r="FI140" i="2"/>
  <c r="FJ140" i="2"/>
  <c r="FK140" i="2"/>
  <c r="FL140" i="2" s="1"/>
  <c r="FM140" i="2"/>
  <c r="FN140" i="2"/>
  <c r="FO140" i="2" s="1"/>
  <c r="FP140" i="2"/>
  <c r="FQ140" i="2"/>
  <c r="FR140" i="2" s="1"/>
  <c r="L141" i="2"/>
  <c r="AS141" i="2"/>
  <c r="BA141" i="2"/>
  <c r="BK141" i="2"/>
  <c r="CG141" i="2"/>
  <c r="CN141" i="2"/>
  <c r="DB141" i="2"/>
  <c r="DL141" i="2"/>
  <c r="DS141" i="2" s="1"/>
  <c r="DW141" i="2"/>
  <c r="DX141" i="2"/>
  <c r="DY141" i="2"/>
  <c r="EA141" i="2"/>
  <c r="ED141" i="2"/>
  <c r="EJ141" i="2"/>
  <c r="EL141" i="2"/>
  <c r="EW141" i="2"/>
  <c r="FH141" i="2"/>
  <c r="FI141" i="2"/>
  <c r="FJ141" i="2"/>
  <c r="FL141" i="2"/>
  <c r="FM141" i="2"/>
  <c r="FO141" i="2"/>
  <c r="FP141" i="2"/>
  <c r="FR141" i="2"/>
  <c r="L142" i="2"/>
  <c r="AS142" i="2"/>
  <c r="BA142" i="2"/>
  <c r="BK142" i="2"/>
  <c r="CG142" i="2"/>
  <c r="CN142" i="2"/>
  <c r="DB142" i="2"/>
  <c r="DL142" i="2"/>
  <c r="DS142" i="2"/>
  <c r="DW142" i="2"/>
  <c r="DX142" i="2"/>
  <c r="DY142" i="2"/>
  <c r="EA142" i="2"/>
  <c r="ED142" i="2"/>
  <c r="FN142" i="2" s="1"/>
  <c r="FO142" i="2" s="1"/>
  <c r="EJ142" i="2"/>
  <c r="EL142" i="2"/>
  <c r="EW142" i="2"/>
  <c r="FG142" i="2"/>
  <c r="FH142" i="2" s="1"/>
  <c r="FI142" i="2"/>
  <c r="FJ142" i="2"/>
  <c r="FK142" i="2"/>
  <c r="FL142" i="2" s="1"/>
  <c r="FP142" i="2"/>
  <c r="FQ142" i="2"/>
  <c r="FR142" i="2" s="1"/>
  <c r="L143" i="2"/>
  <c r="AS143" i="2"/>
  <c r="BA143" i="2"/>
  <c r="BC143" i="2"/>
  <c r="BK143" i="2"/>
  <c r="CG143" i="2"/>
  <c r="CN143" i="2"/>
  <c r="DB143" i="2"/>
  <c r="DL143" i="2"/>
  <c r="DS143" i="2" s="1"/>
  <c r="DW143" i="2"/>
  <c r="DX143" i="2"/>
  <c r="DY143" i="2"/>
  <c r="EA143" i="2"/>
  <c r="ED143" i="2"/>
  <c r="EE143" i="2"/>
  <c r="FN143" i="2" s="1"/>
  <c r="FO143" i="2" s="1"/>
  <c r="EJ143" i="2"/>
  <c r="EL143" i="2"/>
  <c r="EW143" i="2"/>
  <c r="FH143" i="2"/>
  <c r="FI143" i="2"/>
  <c r="FJ143" i="2"/>
  <c r="FK143" i="2"/>
  <c r="FL143" i="2" s="1"/>
  <c r="FM143" i="2"/>
  <c r="FP143" i="2"/>
  <c r="FQ143" i="2"/>
  <c r="FR143" i="2" s="1"/>
  <c r="L144" i="2"/>
  <c r="AS144" i="2"/>
  <c r="BA144" i="2"/>
  <c r="BC144" i="2"/>
  <c r="BK144" i="2"/>
  <c r="CG144" i="2"/>
  <c r="CN144" i="2"/>
  <c r="DB144" i="2"/>
  <c r="DL144" i="2"/>
  <c r="DS144" i="2"/>
  <c r="DW144" i="2"/>
  <c r="DX144" i="2"/>
  <c r="DY144" i="2"/>
  <c r="EA144" i="2"/>
  <c r="ED144" i="2"/>
  <c r="FN144" i="2" s="1"/>
  <c r="FO144" i="2" s="1"/>
  <c r="EJ144" i="2"/>
  <c r="EL144" i="2"/>
  <c r="EW144" i="2"/>
  <c r="FG144" i="2"/>
  <c r="FH144" i="2" s="1"/>
  <c r="FI144" i="2"/>
  <c r="FJ144" i="2"/>
  <c r="FK144" i="2"/>
  <c r="FL144" i="2" s="1"/>
  <c r="FP144" i="2"/>
  <c r="FQ144" i="2"/>
  <c r="FR144" i="2" s="1"/>
  <c r="L145" i="2"/>
  <c r="AS145" i="2"/>
  <c r="BA145" i="2"/>
  <c r="BB145" i="2"/>
  <c r="BC145" i="2"/>
  <c r="BK145" i="2"/>
  <c r="CG145" i="2"/>
  <c r="CN145" i="2"/>
  <c r="DB145" i="2"/>
  <c r="DL145" i="2"/>
  <c r="EA145" i="2" s="1"/>
  <c r="DS145" i="2"/>
  <c r="DW145" i="2"/>
  <c r="DX145" i="2"/>
  <c r="DY145" i="2"/>
  <c r="ED145" i="2"/>
  <c r="FM145" i="2" s="1"/>
  <c r="EJ145" i="2"/>
  <c r="EW145" i="2"/>
  <c r="FG145" i="2"/>
  <c r="FH145" i="2"/>
  <c r="FI145" i="2"/>
  <c r="FJ145" i="2"/>
  <c r="FK145" i="2"/>
  <c r="FL145" i="2"/>
  <c r="FP145" i="2"/>
  <c r="FQ145" i="2"/>
  <c r="FR145" i="2"/>
  <c r="L146" i="2"/>
  <c r="AS146" i="2"/>
  <c r="BA146" i="2"/>
  <c r="BC146" i="2"/>
  <c r="BK146" i="2"/>
  <c r="CG146" i="2"/>
  <c r="CN146" i="2"/>
  <c r="DB146" i="2"/>
  <c r="DL146" i="2"/>
  <c r="EL146" i="2" s="1"/>
  <c r="DW146" i="2"/>
  <c r="DX146" i="2"/>
  <c r="DY146" i="2"/>
  <c r="EA146" i="2"/>
  <c r="ED146" i="2"/>
  <c r="FM146" i="2" s="1"/>
  <c r="EJ146" i="2"/>
  <c r="EW146" i="2"/>
  <c r="FG146" i="2"/>
  <c r="FH146" i="2" s="1"/>
  <c r="FI146" i="2"/>
  <c r="FJ146" i="2"/>
  <c r="FK146" i="2"/>
  <c r="FL146" i="2"/>
  <c r="FN146" i="2"/>
  <c r="FO146" i="2" s="1"/>
  <c r="FP146" i="2"/>
  <c r="FQ146" i="2"/>
  <c r="FR146" i="2"/>
  <c r="L147" i="2"/>
  <c r="AS147" i="2"/>
  <c r="BA147" i="2"/>
  <c r="BK147" i="2"/>
  <c r="CG147" i="2"/>
  <c r="CN147" i="2"/>
  <c r="DB147" i="2"/>
  <c r="DL147" i="2"/>
  <c r="DS147" i="2" s="1"/>
  <c r="DW147" i="2"/>
  <c r="DX147" i="2"/>
  <c r="DY147" i="2"/>
  <c r="ED147" i="2"/>
  <c r="EJ147" i="2"/>
  <c r="EL147" i="2"/>
  <c r="EW147" i="2"/>
  <c r="FG147" i="2"/>
  <c r="FH147" i="2" s="1"/>
  <c r="FI147" i="2"/>
  <c r="FJ147" i="2"/>
  <c r="FK147" i="2"/>
  <c r="FL147" i="2" s="1"/>
  <c r="FM147" i="2"/>
  <c r="FN147" i="2"/>
  <c r="FO147" i="2" s="1"/>
  <c r="FP147" i="2"/>
  <c r="FQ147" i="2"/>
  <c r="FR147" i="2" s="1"/>
  <c r="L148" i="2"/>
  <c r="AS148" i="2"/>
  <c r="BK148" i="2"/>
  <c r="CG148" i="2"/>
  <c r="CN148" i="2"/>
  <c r="DB148" i="2"/>
  <c r="DL148" i="2"/>
  <c r="DS148" i="2" s="1"/>
  <c r="DW148" i="2"/>
  <c r="DX148" i="2"/>
  <c r="DY148" i="2"/>
  <c r="EA148" i="2"/>
  <c r="ED148" i="2"/>
  <c r="FM148" i="2" s="1"/>
  <c r="EE148" i="2"/>
  <c r="EJ148" i="2"/>
  <c r="EL148" i="2"/>
  <c r="EW148" i="2"/>
  <c r="FG148" i="2"/>
  <c r="FH148" i="2"/>
  <c r="FI148" i="2"/>
  <c r="FJ148" i="2"/>
  <c r="FK148" i="2"/>
  <c r="FL148" i="2" s="1"/>
  <c r="FN148" i="2"/>
  <c r="FO148" i="2" s="1"/>
  <c r="FP148" i="2"/>
  <c r="FQ148" i="2"/>
  <c r="FR148" i="2"/>
  <c r="L149" i="2"/>
  <c r="AS149" i="2"/>
  <c r="BA149" i="2"/>
  <c r="BB149" i="2"/>
  <c r="BK149" i="2"/>
  <c r="CG149" i="2"/>
  <c r="CN149" i="2"/>
  <c r="DB149" i="2"/>
  <c r="DL149" i="2"/>
  <c r="DS149" i="2"/>
  <c r="DW149" i="2"/>
  <c r="DX149" i="2"/>
  <c r="EJ149" i="2" s="1"/>
  <c r="DY149" i="2"/>
  <c r="EA149" i="2"/>
  <c r="ED149" i="2"/>
  <c r="EE149" i="2"/>
  <c r="EL149" i="2"/>
  <c r="FI149" i="2"/>
  <c r="L150" i="2"/>
  <c r="CG150" i="2"/>
  <c r="CN150" i="2"/>
  <c r="DB150" i="2"/>
  <c r="DL150" i="2"/>
  <c r="DW150" i="2"/>
  <c r="DX150" i="2"/>
  <c r="DY150" i="2"/>
  <c r="ED150" i="2"/>
  <c r="EE150" i="2"/>
  <c r="EJ150" i="2"/>
  <c r="FI150" i="2"/>
  <c r="L151" i="2"/>
  <c r="AS151" i="2"/>
  <c r="BK151" i="2"/>
  <c r="CG151" i="2"/>
  <c r="CN151" i="2"/>
  <c r="DB151" i="2"/>
  <c r="DL151" i="2"/>
  <c r="DS151" i="2" s="1"/>
  <c r="DW151" i="2"/>
  <c r="DX151" i="2"/>
  <c r="EJ151" i="2" s="1"/>
  <c r="DY151" i="2"/>
  <c r="ED151" i="2"/>
  <c r="EL151" i="2"/>
  <c r="FI151" i="2"/>
  <c r="L152" i="2"/>
  <c r="AS152" i="2"/>
  <c r="BA152" i="2"/>
  <c r="BK152" i="2"/>
  <c r="CG152" i="2"/>
  <c r="CN152" i="2"/>
  <c r="DB152" i="2"/>
  <c r="DL152" i="2"/>
  <c r="FI152" i="2" s="1"/>
  <c r="DS152" i="2"/>
  <c r="DW152" i="2"/>
  <c r="DX152" i="2"/>
  <c r="EJ152" i="2" s="1"/>
  <c r="DY152" i="2"/>
  <c r="EA152" i="2"/>
  <c r="ED152" i="2"/>
  <c r="EL152" i="2"/>
  <c r="L153" i="2"/>
  <c r="AS153" i="2"/>
  <c r="BK153" i="2"/>
  <c r="CG153" i="2"/>
  <c r="CN153" i="2"/>
  <c r="DB153" i="2"/>
  <c r="DL153" i="2"/>
  <c r="EA153" i="2" s="1"/>
  <c r="DS153" i="2"/>
  <c r="DW153" i="2"/>
  <c r="DX153" i="2"/>
  <c r="DY153" i="2"/>
  <c r="ED153" i="2"/>
  <c r="EJ153" i="2"/>
  <c r="L154" i="2"/>
  <c r="AS154" i="2"/>
  <c r="BA154" i="2"/>
  <c r="BK154" i="2"/>
  <c r="CG154" i="2"/>
  <c r="CN154" i="2"/>
  <c r="DA154" i="2"/>
  <c r="DB154" i="2" s="1"/>
  <c r="DL154" i="2"/>
  <c r="EL154" i="2" s="1"/>
  <c r="DW154" i="2"/>
  <c r="DX154" i="2"/>
  <c r="EJ154" i="2" s="1"/>
  <c r="DY154" i="2"/>
  <c r="EA154" i="2"/>
  <c r="ED154" i="2"/>
  <c r="EE154" i="2"/>
  <c r="FI154" i="2"/>
  <c r="L155" i="2"/>
  <c r="AS155" i="2"/>
  <c r="BK155" i="2"/>
  <c r="CG155" i="2"/>
  <c r="CN155" i="2"/>
  <c r="DB155" i="2"/>
  <c r="DL155" i="2"/>
  <c r="DS155" i="2"/>
  <c r="DW155" i="2"/>
  <c r="DX155" i="2"/>
  <c r="DY155" i="2"/>
  <c r="EA155" i="2"/>
  <c r="ED155" i="2"/>
  <c r="EE155" i="2"/>
  <c r="EJ155" i="2"/>
  <c r="EL155" i="2"/>
  <c r="FI155" i="2"/>
  <c r="L156" i="2"/>
  <c r="CG156" i="2"/>
  <c r="CN156" i="2"/>
  <c r="DB156" i="2"/>
  <c r="DL156" i="2"/>
  <c r="DW156" i="2"/>
  <c r="DX156" i="2"/>
  <c r="DY156" i="2"/>
  <c r="ED156" i="2"/>
  <c r="EJ156" i="2"/>
  <c r="FI156" i="2"/>
  <c r="L157" i="2"/>
  <c r="BA157" i="2"/>
  <c r="CG157" i="2"/>
  <c r="CN157" i="2"/>
  <c r="DB157" i="2"/>
  <c r="DL157" i="2"/>
  <c r="DW157" i="2"/>
  <c r="DX157" i="2"/>
  <c r="DY157" i="2"/>
  <c r="ED157" i="2"/>
  <c r="EJ157" i="2"/>
  <c r="FI157" i="2"/>
  <c r="L158" i="2"/>
  <c r="CG158" i="2"/>
  <c r="CN158" i="2"/>
  <c r="DB158" i="2"/>
  <c r="DL158" i="2"/>
  <c r="ED158" i="2"/>
  <c r="EE158" i="2"/>
  <c r="FI158" i="2"/>
  <c r="L159" i="2"/>
  <c r="CG159" i="2"/>
  <c r="CN159" i="2"/>
  <c r="DB159" i="2"/>
  <c r="DL159" i="2"/>
  <c r="ED159" i="2"/>
  <c r="EE159" i="2"/>
  <c r="FI159" i="2"/>
  <c r="L160" i="2"/>
  <c r="CG160" i="2"/>
  <c r="CN160" i="2"/>
  <c r="DB160" i="2"/>
  <c r="DL160" i="2"/>
  <c r="ED160" i="2"/>
  <c r="FI160" i="2"/>
  <c r="L161" i="2"/>
  <c r="BA161" i="2"/>
  <c r="CG161" i="2"/>
  <c r="CN161" i="2"/>
  <c r="DB161" i="2"/>
  <c r="DL161" i="2"/>
  <c r="FI161" i="2" s="1"/>
  <c r="DW161" i="2"/>
  <c r="DX161" i="2"/>
  <c r="DY161" i="2"/>
  <c r="ED161" i="2"/>
  <c r="EJ161" i="2"/>
  <c r="L162" i="2"/>
  <c r="CG162" i="2"/>
  <c r="CN162" i="2"/>
  <c r="DB162" i="2"/>
  <c r="DL162" i="2"/>
  <c r="DW162" i="2"/>
  <c r="DX162" i="2"/>
  <c r="DY162" i="2"/>
  <c r="ED162" i="2"/>
  <c r="EJ162" i="2"/>
  <c r="FI162" i="2"/>
  <c r="L163" i="2"/>
  <c r="CG163" i="2"/>
  <c r="CN163" i="2"/>
  <c r="DB163" i="2"/>
  <c r="DL163" i="2"/>
  <c r="FI163" i="2" s="1"/>
  <c r="DW163" i="2"/>
  <c r="DX163" i="2"/>
  <c r="EJ163" i="2" s="1"/>
  <c r="DY163" i="2"/>
  <c r="ED163" i="2"/>
  <c r="L164" i="2"/>
  <c r="CG164" i="2"/>
  <c r="CN164" i="2"/>
  <c r="DB164" i="2"/>
  <c r="DL164" i="2"/>
  <c r="FI164" i="2" s="1"/>
  <c r="DW164" i="2"/>
  <c r="DX164" i="2"/>
  <c r="EJ164" i="2" s="1"/>
  <c r="DY164" i="2"/>
  <c r="ED164" i="2"/>
  <c r="L165" i="2"/>
  <c r="BA165" i="2"/>
  <c r="CG165" i="2"/>
  <c r="CN165" i="2"/>
  <c r="DB165" i="2"/>
  <c r="DL165" i="2"/>
  <c r="DW165" i="2"/>
  <c r="DX165" i="2"/>
  <c r="EJ165" i="2" s="1"/>
  <c r="DY165" i="2"/>
  <c r="ED165" i="2"/>
  <c r="FI165" i="2"/>
  <c r="L166" i="2"/>
  <c r="CG166" i="2"/>
  <c r="CN166" i="2"/>
  <c r="DB166" i="2"/>
  <c r="DL166" i="2"/>
  <c r="DW166" i="2"/>
  <c r="DX166" i="2"/>
  <c r="EJ166" i="2" s="1"/>
  <c r="DY166" i="2"/>
  <c r="ED166" i="2"/>
  <c r="FI166" i="2"/>
  <c r="L167" i="2"/>
  <c r="CG167" i="2"/>
  <c r="CN167" i="2"/>
  <c r="DB167" i="2"/>
  <c r="DL167" i="2"/>
  <c r="FI167" i="2" s="1"/>
  <c r="DW167" i="2"/>
  <c r="DX167" i="2"/>
  <c r="DY167" i="2"/>
  <c r="ED167" i="2"/>
  <c r="EJ167" i="2"/>
  <c r="L168" i="2"/>
  <c r="CG168" i="2"/>
  <c r="CN168" i="2"/>
  <c r="DB168" i="2"/>
  <c r="DL168" i="2"/>
  <c r="ED168" i="2"/>
  <c r="EE168" i="2"/>
  <c r="FI168" i="2"/>
  <c r="L169" i="2"/>
  <c r="BA169" i="2"/>
  <c r="BK169" i="2"/>
  <c r="CG169" i="2"/>
  <c r="DB169" i="2"/>
  <c r="DL169" i="2"/>
  <c r="DS169" i="2" s="1"/>
  <c r="DW169" i="2"/>
  <c r="DX169" i="2"/>
  <c r="DY169" i="2"/>
  <c r="ED169" i="2"/>
  <c r="EJ169" i="2"/>
  <c r="EL169" i="2"/>
  <c r="EW169" i="2"/>
  <c r="FG169" i="2"/>
  <c r="FH169" i="2" s="1"/>
  <c r="FJ169" i="2"/>
  <c r="FK169" i="2"/>
  <c r="FL169" i="2"/>
  <c r="FM169" i="2"/>
  <c r="FN169" i="2"/>
  <c r="FO169" i="2" s="1"/>
  <c r="FP169" i="2"/>
  <c r="FQ169" i="2"/>
  <c r="FR169" i="2" s="1"/>
  <c r="L170" i="2"/>
  <c r="BA170" i="2"/>
  <c r="BK170" i="2"/>
  <c r="CG170" i="2"/>
  <c r="DB170" i="2"/>
  <c r="DL170" i="2"/>
  <c r="DS170" i="2" s="1"/>
  <c r="DW170" i="2"/>
  <c r="DX170" i="2"/>
  <c r="DY170" i="2"/>
  <c r="EA170" i="2"/>
  <c r="ED170" i="2"/>
  <c r="FM170" i="2" s="1"/>
  <c r="EE170" i="2"/>
  <c r="EJ170" i="2"/>
  <c r="EL170" i="2"/>
  <c r="EW170" i="2"/>
  <c r="FG170" i="2"/>
  <c r="FH170" i="2"/>
  <c r="FJ170" i="2"/>
  <c r="FK170" i="2"/>
  <c r="FL170" i="2" s="1"/>
  <c r="FN170" i="2"/>
  <c r="FO170" i="2" s="1"/>
  <c r="FP170" i="2"/>
  <c r="FQ170" i="2"/>
  <c r="FR170" i="2" s="1"/>
  <c r="L171" i="2"/>
  <c r="BA171" i="2"/>
  <c r="BK171" i="2"/>
  <c r="CG171" i="2"/>
  <c r="DB171" i="2"/>
  <c r="DL171" i="2"/>
  <c r="DS171" i="2" s="1"/>
  <c r="DW171" i="2"/>
  <c r="DX171" i="2"/>
  <c r="EJ171" i="2" s="1"/>
  <c r="DY171" i="2"/>
  <c r="EA171" i="2"/>
  <c r="ED171" i="2"/>
  <c r="EE171" i="2"/>
  <c r="FN171" i="2" s="1"/>
  <c r="FO171" i="2" s="1"/>
  <c r="EL171" i="2"/>
  <c r="EW171" i="2"/>
  <c r="FG171" i="2"/>
  <c r="FH171" i="2"/>
  <c r="FJ171" i="2"/>
  <c r="FK171" i="2"/>
  <c r="FL171" i="2" s="1"/>
  <c r="FM171" i="2"/>
  <c r="FP171" i="2"/>
  <c r="FQ171" i="2"/>
  <c r="FR171" i="2"/>
  <c r="L172" i="2"/>
  <c r="BA172" i="2"/>
  <c r="BK172" i="2"/>
  <c r="DL172" i="2"/>
  <c r="DW172" i="2"/>
  <c r="DX172" i="2"/>
  <c r="EJ172" i="2" s="1"/>
  <c r="DY172" i="2"/>
  <c r="ED172" i="2"/>
  <c r="FN172" i="2" s="1"/>
  <c r="FO172" i="2" s="1"/>
  <c r="FG172" i="2"/>
  <c r="FH172" i="2" s="1"/>
  <c r="FJ172" i="2"/>
  <c r="FK172" i="2"/>
  <c r="FL172" i="2" s="1"/>
  <c r="FP172" i="2"/>
  <c r="FQ172" i="2"/>
  <c r="FR172" i="2" s="1"/>
  <c r="L173" i="2"/>
  <c r="BA173" i="2"/>
  <c r="BK173" i="2"/>
  <c r="CG173" i="2"/>
  <c r="DB173" i="2"/>
  <c r="DL173" i="2"/>
  <c r="DS173" i="2"/>
  <c r="DW173" i="2"/>
  <c r="DX173" i="2"/>
  <c r="EJ173" i="2" s="1"/>
  <c r="DY173" i="2"/>
  <c r="EA173" i="2"/>
  <c r="ED173" i="2"/>
  <c r="EE173" i="2"/>
  <c r="EL173" i="2"/>
  <c r="EW173" i="2"/>
  <c r="FG173" i="2"/>
  <c r="FH173" i="2" s="1"/>
  <c r="FJ173" i="2"/>
  <c r="FK173" i="2"/>
  <c r="FL173" i="2"/>
  <c r="FM173" i="2"/>
  <c r="FN173" i="2"/>
  <c r="FO173" i="2" s="1"/>
  <c r="FP173" i="2"/>
  <c r="FQ173" i="2"/>
  <c r="FR173" i="2" s="1"/>
  <c r="L174" i="2"/>
  <c r="AS174" i="2"/>
  <c r="BA174" i="2"/>
  <c r="BK174" i="2"/>
  <c r="CG174" i="2"/>
  <c r="DB174" i="2"/>
  <c r="DL174" i="2"/>
  <c r="EA174" i="2" s="1"/>
  <c r="DS174" i="2"/>
  <c r="DW174" i="2"/>
  <c r="DX174" i="2"/>
  <c r="DY174" i="2"/>
  <c r="ED174" i="2"/>
  <c r="FM174" i="2" s="1"/>
  <c r="EJ174" i="2"/>
  <c r="EW174" i="2"/>
  <c r="FG174" i="2"/>
  <c r="FH174" i="2"/>
  <c r="FJ174" i="2"/>
  <c r="FK174" i="2"/>
  <c r="FL174" i="2" s="1"/>
  <c r="FP174" i="2"/>
  <c r="FQ174" i="2"/>
  <c r="FR174" i="2" s="1"/>
  <c r="L175" i="2"/>
  <c r="AS175" i="2"/>
  <c r="BA175" i="2"/>
  <c r="BB175" i="2"/>
  <c r="BK175" i="2"/>
  <c r="CG175" i="2"/>
  <c r="DB175" i="2"/>
  <c r="DL175" i="2"/>
  <c r="DS175" i="2" s="1"/>
  <c r="DW175" i="2"/>
  <c r="DX175" i="2"/>
  <c r="DY175" i="2"/>
  <c r="EA175" i="2"/>
  <c r="ED175" i="2"/>
  <c r="FM175" i="2" s="1"/>
  <c r="EE175" i="2"/>
  <c r="FN175" i="2" s="1"/>
  <c r="FO175" i="2" s="1"/>
  <c r="EJ175" i="2"/>
  <c r="EL175" i="2"/>
  <c r="EW175" i="2"/>
  <c r="FG175" i="2"/>
  <c r="FH175" i="2"/>
  <c r="FJ175" i="2"/>
  <c r="FK175" i="2"/>
  <c r="FL175" i="2" s="1"/>
  <c r="FP175" i="2"/>
  <c r="FQ175" i="2"/>
  <c r="FR175" i="2"/>
  <c r="L176" i="2"/>
  <c r="BA176" i="2"/>
  <c r="BK176" i="2"/>
  <c r="DL176" i="2"/>
  <c r="DW176" i="2"/>
  <c r="DX176" i="2"/>
  <c r="EJ176" i="2" s="1"/>
  <c r="DY176" i="2"/>
  <c r="ED176" i="2"/>
  <c r="FN176" i="2" s="1"/>
  <c r="FO176" i="2" s="1"/>
  <c r="FG176" i="2"/>
  <c r="FH176" i="2" s="1"/>
  <c r="FJ176" i="2"/>
  <c r="FK176" i="2"/>
  <c r="FL176" i="2" s="1"/>
  <c r="FM176" i="2"/>
  <c r="FP176" i="2"/>
  <c r="FQ176" i="2"/>
  <c r="FR176" i="2"/>
  <c r="L177" i="2"/>
  <c r="BA177" i="2"/>
  <c r="BK177" i="2"/>
  <c r="DL177" i="2"/>
  <c r="DW177" i="2"/>
  <c r="DX177" i="2"/>
  <c r="DY177" i="2"/>
  <c r="ED177" i="2"/>
  <c r="EE177" i="2"/>
  <c r="FN177" i="2" s="1"/>
  <c r="FO177" i="2" s="1"/>
  <c r="EJ177" i="2"/>
  <c r="FG177" i="2"/>
  <c r="FH177" i="2"/>
  <c r="FJ177" i="2"/>
  <c r="FK177" i="2"/>
  <c r="FL177" i="2" s="1"/>
  <c r="FM177" i="2"/>
  <c r="FP177" i="2"/>
  <c r="FQ177" i="2"/>
  <c r="FR177" i="2"/>
  <c r="L178" i="2"/>
  <c r="AS178" i="2"/>
  <c r="BA178" i="2"/>
  <c r="BK178" i="2"/>
  <c r="CG178" i="2"/>
  <c r="DB178" i="2"/>
  <c r="DL178" i="2"/>
  <c r="DS178" i="2" s="1"/>
  <c r="DW178" i="2"/>
  <c r="DX178" i="2"/>
  <c r="DY178" i="2"/>
  <c r="EA178" i="2"/>
  <c r="ED178" i="2"/>
  <c r="FM178" i="2" s="1"/>
  <c r="EE178" i="2"/>
  <c r="EJ178" i="2"/>
  <c r="EL178" i="2"/>
  <c r="EW178" i="2"/>
  <c r="FG178" i="2"/>
  <c r="FH178" i="2"/>
  <c r="FJ178" i="2"/>
  <c r="FK178" i="2"/>
  <c r="FL178" i="2"/>
  <c r="FN178" i="2"/>
  <c r="FO178" i="2" s="1"/>
  <c r="FP178" i="2"/>
  <c r="FQ178" i="2"/>
  <c r="FR178" i="2" s="1"/>
  <c r="L179" i="2"/>
  <c r="BK179" i="2"/>
  <c r="DL179" i="2"/>
  <c r="DS179" i="2" s="1"/>
  <c r="DW179" i="2"/>
  <c r="DX179" i="2"/>
  <c r="EJ179" i="2" s="1"/>
  <c r="DY179" i="2"/>
  <c r="EA179" i="2"/>
  <c r="ED179" i="2"/>
  <c r="FM179" i="2" s="1"/>
  <c r="EL179" i="2"/>
  <c r="FG179" i="2"/>
  <c r="FH179" i="2"/>
  <c r="FJ179" i="2"/>
  <c r="FK179" i="2"/>
  <c r="FL179" i="2" s="1"/>
  <c r="FN179" i="2"/>
  <c r="FO179" i="2" s="1"/>
  <c r="FP179" i="2"/>
  <c r="FQ179" i="2"/>
  <c r="FR179" i="2" s="1"/>
  <c r="L180" i="2"/>
  <c r="BK180" i="2"/>
  <c r="DL180" i="2"/>
  <c r="DS180" i="2" s="1"/>
  <c r="DW180" i="2"/>
  <c r="DX180" i="2"/>
  <c r="DY180" i="2"/>
  <c r="ED180" i="2"/>
  <c r="EJ180" i="2"/>
  <c r="EL180" i="2"/>
  <c r="FG180" i="2"/>
  <c r="FH180" i="2"/>
  <c r="FJ180" i="2"/>
  <c r="FK180" i="2"/>
  <c r="FL180" i="2" s="1"/>
  <c r="FM180" i="2"/>
  <c r="FN180" i="2"/>
  <c r="FO180" i="2" s="1"/>
  <c r="FP180" i="2"/>
  <c r="FQ180" i="2"/>
  <c r="FR180" i="2"/>
  <c r="L181" i="2"/>
  <c r="BK181" i="2"/>
  <c r="DL181" i="2"/>
  <c r="DS181" i="2" s="1"/>
  <c r="DW181" i="2"/>
  <c r="DX181" i="2"/>
  <c r="EJ181" i="2" s="1"/>
  <c r="DY181" i="2"/>
  <c r="EA181" i="2"/>
  <c r="ED181" i="2"/>
  <c r="EE181" i="2"/>
  <c r="EL181" i="2"/>
  <c r="FG181" i="2"/>
  <c r="FH181" i="2" s="1"/>
  <c r="FJ181" i="2"/>
  <c r="FK181" i="2"/>
  <c r="FL181" i="2"/>
  <c r="FM181" i="2"/>
  <c r="FN181" i="2"/>
  <c r="FO181" i="2" s="1"/>
  <c r="FP181" i="2"/>
  <c r="FQ181" i="2"/>
  <c r="FR181" i="2" s="1"/>
  <c r="L182" i="2"/>
  <c r="BK182" i="2"/>
  <c r="DL182" i="2"/>
  <c r="DS182" i="2"/>
  <c r="DW182" i="2"/>
  <c r="DX182" i="2"/>
  <c r="EJ182" i="2" s="1"/>
  <c r="DY182" i="2"/>
  <c r="EA182" i="2"/>
  <c r="ED182" i="2"/>
  <c r="EE182" i="2"/>
  <c r="EL182" i="2"/>
  <c r="FG182" i="2"/>
  <c r="FH182" i="2" s="1"/>
  <c r="FJ182" i="2"/>
  <c r="FK182" i="2"/>
  <c r="FL182" i="2" s="1"/>
  <c r="FM182" i="2"/>
  <c r="FN182" i="2"/>
  <c r="FO182" i="2"/>
  <c r="FP182" i="2"/>
  <c r="FQ182" i="2"/>
  <c r="FR182" i="2"/>
  <c r="L183" i="2"/>
  <c r="BK183" i="2"/>
  <c r="BL183" i="2" s="1"/>
  <c r="DL183" i="2"/>
  <c r="FG183" i="2"/>
  <c r="FH183" i="2" s="1"/>
  <c r="L184" i="2"/>
  <c r="BK184" i="2"/>
  <c r="DL184" i="2"/>
  <c r="DS184" i="2" s="1"/>
  <c r="DW184" i="2"/>
  <c r="DX184" i="2"/>
  <c r="DY184" i="2"/>
  <c r="EA184" i="2"/>
  <c r="ED184" i="2"/>
  <c r="FN184" i="2" s="1"/>
  <c r="FO184" i="2" s="1"/>
  <c r="EE184" i="2"/>
  <c r="EJ184" i="2"/>
  <c r="EL184" i="2"/>
  <c r="FG184" i="2"/>
  <c r="FH184" i="2" s="1"/>
  <c r="FJ184" i="2"/>
  <c r="FK184" i="2"/>
  <c r="FL184" i="2" s="1"/>
  <c r="FM184" i="2"/>
  <c r="FP184" i="2"/>
  <c r="FQ184" i="2"/>
  <c r="FR184" i="2"/>
  <c r="L185" i="2"/>
  <c r="BK185" i="2"/>
  <c r="CG185" i="2"/>
  <c r="DB185" i="2"/>
  <c r="DL185" i="2"/>
  <c r="FG185" i="2"/>
  <c r="FH185" i="2"/>
  <c r="L186" i="2"/>
  <c r="BK186" i="2"/>
  <c r="CG186" i="2"/>
  <c r="DB186" i="2"/>
  <c r="DL186" i="2"/>
  <c r="FG186" i="2"/>
  <c r="FH186" i="2"/>
  <c r="L187" i="2"/>
  <c r="BK187" i="2"/>
  <c r="DL187" i="2"/>
  <c r="EL187" i="2" s="1"/>
  <c r="DW187" i="2"/>
  <c r="DX187" i="2"/>
  <c r="DY187" i="2"/>
  <c r="ED187" i="2"/>
  <c r="EJ187" i="2"/>
  <c r="FG187" i="2"/>
  <c r="FH187" i="2" s="1"/>
  <c r="FJ187" i="2"/>
  <c r="FK187" i="2"/>
  <c r="FL187" i="2" s="1"/>
  <c r="FM187" i="2"/>
  <c r="FN187" i="2"/>
  <c r="FO187" i="2"/>
  <c r="FP187" i="2"/>
  <c r="FQ187" i="2"/>
  <c r="FR187" i="2"/>
  <c r="L188" i="2"/>
  <c r="BK188" i="2"/>
  <c r="CG188" i="2"/>
  <c r="DB188" i="2"/>
  <c r="DL188" i="2"/>
  <c r="FG188" i="2"/>
  <c r="FH188" i="2"/>
  <c r="L189" i="2"/>
  <c r="BK189" i="2"/>
  <c r="CG189" i="2"/>
  <c r="DB189" i="2"/>
  <c r="DL189" i="2"/>
  <c r="FG189" i="2"/>
  <c r="FH189" i="2"/>
  <c r="L190" i="2"/>
  <c r="BK190" i="2"/>
  <c r="BL190" i="2" s="1"/>
  <c r="CG190" i="2"/>
  <c r="DL190" i="2"/>
  <c r="DS190" i="2"/>
  <c r="DW190" i="2"/>
  <c r="DX190" i="2"/>
  <c r="DY190" i="2"/>
  <c r="EA190" i="2"/>
  <c r="ED190" i="2"/>
  <c r="FN190" i="2" s="1"/>
  <c r="FO190" i="2" s="1"/>
  <c r="EE190" i="2"/>
  <c r="EJ190" i="2"/>
  <c r="EL190" i="2"/>
  <c r="FG190" i="2"/>
  <c r="FH190" i="2" s="1"/>
  <c r="FJ190" i="2"/>
  <c r="FK190" i="2"/>
  <c r="FL190" i="2"/>
  <c r="FM190" i="2"/>
  <c r="FP190" i="2"/>
  <c r="FQ190" i="2"/>
  <c r="FR190" i="2" s="1"/>
  <c r="L191" i="2"/>
  <c r="BK191" i="2"/>
  <c r="BL191" i="2" s="1"/>
  <c r="CG191" i="2"/>
  <c r="DL191" i="2"/>
  <c r="DS191" i="2"/>
  <c r="DW191" i="2"/>
  <c r="DX191" i="2"/>
  <c r="DY191" i="2"/>
  <c r="EA191" i="2"/>
  <c r="ED191" i="2"/>
  <c r="FM191" i="2" s="1"/>
  <c r="EJ191" i="2"/>
  <c r="EL191" i="2"/>
  <c r="FG191" i="2"/>
  <c r="FH191" i="2" s="1"/>
  <c r="FJ191" i="2"/>
  <c r="FK191" i="2"/>
  <c r="FL191" i="2"/>
  <c r="FP191" i="2"/>
  <c r="FQ191" i="2"/>
  <c r="FR191" i="2" s="1"/>
  <c r="L192" i="2"/>
  <c r="BK192" i="2"/>
  <c r="DL192" i="2"/>
  <c r="DS192" i="2"/>
  <c r="DW192" i="2"/>
  <c r="DX192" i="2"/>
  <c r="DY192" i="2"/>
  <c r="EA192" i="2"/>
  <c r="ED192" i="2"/>
  <c r="FN192" i="2" s="1"/>
  <c r="FO192" i="2" s="1"/>
  <c r="EE192" i="2"/>
  <c r="EJ192" i="2"/>
  <c r="EL192" i="2"/>
  <c r="FG192" i="2"/>
  <c r="FH192" i="2" s="1"/>
  <c r="FJ192" i="2"/>
  <c r="FK192" i="2"/>
  <c r="FL192" i="2" s="1"/>
  <c r="FM192" i="2"/>
  <c r="FP192" i="2"/>
  <c r="FQ192" i="2"/>
  <c r="FR192" i="2"/>
  <c r="L193" i="2"/>
  <c r="BK193" i="2"/>
  <c r="DL193" i="2"/>
  <c r="EA193" i="2" s="1"/>
  <c r="DS193" i="2"/>
  <c r="DW193" i="2"/>
  <c r="DX193" i="2"/>
  <c r="DY193" i="2"/>
  <c r="ED193" i="2"/>
  <c r="EE193" i="2"/>
  <c r="EJ193" i="2"/>
  <c r="EL193" i="2"/>
  <c r="FG193" i="2"/>
  <c r="FH193" i="2"/>
  <c r="FJ193" i="2"/>
  <c r="FK193" i="2"/>
  <c r="FL193" i="2"/>
  <c r="FM193" i="2"/>
  <c r="FN193" i="2"/>
  <c r="FO193" i="2" s="1"/>
  <c r="FP193" i="2"/>
  <c r="FQ193" i="2"/>
  <c r="FR193" i="2" s="1"/>
  <c r="L194" i="2"/>
  <c r="BK194" i="2"/>
  <c r="DL194" i="2"/>
  <c r="DS194" i="2" s="1"/>
  <c r="DW194" i="2"/>
  <c r="DX194" i="2"/>
  <c r="EJ194" i="2" s="1"/>
  <c r="DY194" i="2"/>
  <c r="EA194" i="2"/>
  <c r="ED194" i="2"/>
  <c r="FM194" i="2" s="1"/>
  <c r="FG194" i="2"/>
  <c r="FH194" i="2"/>
  <c r="FJ194" i="2"/>
  <c r="FK194" i="2"/>
  <c r="FL194" i="2" s="1"/>
  <c r="FN194" i="2"/>
  <c r="FO194" i="2" s="1"/>
  <c r="FP194" i="2"/>
  <c r="FQ194" i="2"/>
  <c r="FR194" i="2" s="1"/>
  <c r="L195" i="2"/>
  <c r="BK195" i="2"/>
  <c r="DL195" i="2"/>
  <c r="DS195" i="2" s="1"/>
  <c r="DW195" i="2"/>
  <c r="DX195" i="2"/>
  <c r="DY195" i="2"/>
  <c r="ED195" i="2"/>
  <c r="EJ195" i="2"/>
  <c r="EL195" i="2"/>
  <c r="FG195" i="2"/>
  <c r="FH195" i="2"/>
  <c r="FJ195" i="2"/>
  <c r="FK195" i="2"/>
  <c r="FL195" i="2" s="1"/>
  <c r="FM195" i="2"/>
  <c r="FN195" i="2"/>
  <c r="FO195" i="2" s="1"/>
  <c r="FP195" i="2"/>
  <c r="FQ195" i="2"/>
  <c r="FR195" i="2"/>
  <c r="L196" i="2"/>
  <c r="BK196" i="2"/>
  <c r="CG196" i="2"/>
  <c r="DL196" i="2"/>
  <c r="EA196" i="2" s="1"/>
  <c r="DS196" i="2"/>
  <c r="DW196" i="2"/>
  <c r="DX196" i="2"/>
  <c r="EJ196" i="2" s="1"/>
  <c r="DY196" i="2"/>
  <c r="ED196" i="2"/>
  <c r="EL196" i="2"/>
  <c r="FG196" i="2"/>
  <c r="FH196" i="2" s="1"/>
  <c r="FJ196" i="2"/>
  <c r="FK196" i="2"/>
  <c r="FL196" i="2"/>
  <c r="FM196" i="2"/>
  <c r="FN196" i="2"/>
  <c r="FO196" i="2" s="1"/>
  <c r="FP196" i="2"/>
  <c r="FQ196" i="2"/>
  <c r="FR196" i="2" s="1"/>
  <c r="L197" i="2"/>
  <c r="FG197" i="2"/>
  <c r="FH197" i="2" s="1"/>
  <c r="L198" i="2"/>
  <c r="FG198" i="2"/>
  <c r="FH198" i="2"/>
  <c r="L199" i="2"/>
  <c r="BK199" i="2"/>
  <c r="DL199" i="2"/>
  <c r="DS199" i="2"/>
  <c r="DW199" i="2"/>
  <c r="DX199" i="2"/>
  <c r="DY199" i="2"/>
  <c r="EA199" i="2"/>
  <c r="ED199" i="2"/>
  <c r="EE199" i="2"/>
  <c r="EJ199" i="2"/>
  <c r="EL199" i="2"/>
  <c r="FG199" i="2"/>
  <c r="FH199" i="2"/>
  <c r="FJ199" i="2"/>
  <c r="FK199" i="2"/>
  <c r="FL199" i="2"/>
  <c r="FM199" i="2"/>
  <c r="FN199" i="2"/>
  <c r="FO199" i="2" s="1"/>
  <c r="FP199" i="2"/>
  <c r="FQ199" i="2"/>
  <c r="FR199" i="2" s="1"/>
  <c r="L200" i="2"/>
  <c r="FG200" i="2"/>
  <c r="FH200" i="2"/>
  <c r="L201" i="2"/>
  <c r="FG201" i="2"/>
  <c r="FH201" i="2"/>
  <c r="L202" i="2"/>
  <c r="FG202" i="2"/>
  <c r="FH202" i="2" s="1"/>
  <c r="L203" i="2"/>
  <c r="BK203" i="2"/>
  <c r="DL203" i="2"/>
  <c r="EA203" i="2" s="1"/>
  <c r="DS203" i="2"/>
  <c r="DW203" i="2"/>
  <c r="DX203" i="2"/>
  <c r="EJ203" i="2" s="1"/>
  <c r="DY203" i="2"/>
  <c r="ED203" i="2"/>
  <c r="EL203" i="2"/>
  <c r="FG203" i="2"/>
  <c r="FH203" i="2" s="1"/>
  <c r="FJ203" i="2"/>
  <c r="FK203" i="2"/>
  <c r="FL203" i="2"/>
  <c r="FM203" i="2"/>
  <c r="FN203" i="2"/>
  <c r="FO203" i="2" s="1"/>
  <c r="FP203" i="2"/>
  <c r="FQ203" i="2"/>
  <c r="FR203" i="2" s="1"/>
  <c r="L204" i="2"/>
  <c r="FG204" i="2"/>
  <c r="FH204" i="2" s="1"/>
  <c r="L205" i="2"/>
  <c r="FG205" i="2"/>
  <c r="FH205" i="2"/>
  <c r="L206" i="2"/>
  <c r="BK206" i="2"/>
  <c r="DL206" i="2"/>
  <c r="DS206" i="2"/>
  <c r="DW206" i="2"/>
  <c r="DX206" i="2"/>
  <c r="DY206" i="2"/>
  <c r="EA206" i="2"/>
  <c r="ED206" i="2"/>
  <c r="EE206" i="2"/>
  <c r="EJ206" i="2"/>
  <c r="EL206" i="2"/>
  <c r="FG206" i="2"/>
  <c r="FH206" i="2"/>
  <c r="FJ206" i="2"/>
  <c r="FK206" i="2"/>
  <c r="FL206" i="2"/>
  <c r="FM206" i="2"/>
  <c r="FN206" i="2"/>
  <c r="FO206" i="2" s="1"/>
  <c r="FP206" i="2"/>
  <c r="FQ206" i="2"/>
  <c r="FR206" i="2" s="1"/>
  <c r="L207" i="2"/>
  <c r="FG207" i="2"/>
  <c r="FH207" i="2"/>
  <c r="L208" i="2"/>
  <c r="BK208" i="2"/>
  <c r="DL208" i="2"/>
  <c r="EA208" i="2" s="1"/>
  <c r="DS208" i="2"/>
  <c r="DW208" i="2"/>
  <c r="DX208" i="2"/>
  <c r="DY208" i="2"/>
  <c r="ED208" i="2"/>
  <c r="FN208" i="2" s="1"/>
  <c r="FO208" i="2" s="1"/>
  <c r="EE208" i="2"/>
  <c r="EJ208" i="2"/>
  <c r="EL208" i="2"/>
  <c r="FG208" i="2"/>
  <c r="FH208" i="2" s="1"/>
  <c r="FJ208" i="2"/>
  <c r="FK208" i="2"/>
  <c r="FL208" i="2"/>
  <c r="FM208" i="2"/>
  <c r="FP208" i="2"/>
  <c r="FQ208" i="2"/>
  <c r="FR208" i="2" s="1"/>
  <c r="L209" i="2"/>
  <c r="FG209" i="2"/>
  <c r="FH209" i="2" s="1"/>
  <c r="L210" i="2"/>
  <c r="FG210" i="2"/>
  <c r="FH210" i="2"/>
  <c r="L211" i="2"/>
  <c r="BK211" i="2"/>
  <c r="DL211" i="2"/>
  <c r="DS211" i="2" s="1"/>
  <c r="DW211" i="2"/>
  <c r="DX211" i="2"/>
  <c r="EJ211" i="2" s="1"/>
  <c r="DY211" i="2"/>
  <c r="EA211" i="2"/>
  <c r="ED211" i="2"/>
  <c r="EE211" i="2"/>
  <c r="EL211" i="2"/>
  <c r="FG211" i="2"/>
  <c r="FH211" i="2" s="1"/>
  <c r="FJ211" i="2"/>
  <c r="FK211" i="2"/>
  <c r="FL211" i="2"/>
  <c r="FM211" i="2"/>
  <c r="FN211" i="2"/>
  <c r="FO211" i="2" s="1"/>
  <c r="FP211" i="2"/>
  <c r="FQ211" i="2"/>
  <c r="FR211" i="2" s="1"/>
  <c r="L212" i="2"/>
  <c r="BK212" i="2"/>
  <c r="DL212" i="2"/>
  <c r="DS212" i="2"/>
  <c r="DW212" i="2"/>
  <c r="DX212" i="2"/>
  <c r="EJ212" i="2" s="1"/>
  <c r="DY212" i="2"/>
  <c r="EA212" i="2"/>
  <c r="ED212" i="2"/>
  <c r="FM212" i="2" s="1"/>
  <c r="EL212" i="2"/>
  <c r="FG212" i="2"/>
  <c r="FH212" i="2"/>
  <c r="FJ212" i="2"/>
  <c r="FK212" i="2"/>
  <c r="FL212" i="2"/>
  <c r="FN212" i="2"/>
  <c r="FO212" i="2" s="1"/>
  <c r="FP212" i="2"/>
  <c r="FQ212" i="2"/>
  <c r="FR212" i="2" s="1"/>
  <c r="L213" i="2"/>
  <c r="BK213" i="2"/>
  <c r="DL213" i="2"/>
  <c r="DS213" i="2"/>
  <c r="DW213" i="2"/>
  <c r="DX213" i="2"/>
  <c r="DY213" i="2"/>
  <c r="EA213" i="2"/>
  <c r="ED213" i="2"/>
  <c r="FN213" i="2" s="1"/>
  <c r="FO213" i="2" s="1"/>
  <c r="EE213" i="2"/>
  <c r="EJ213" i="2"/>
  <c r="EL213" i="2"/>
  <c r="FG213" i="2"/>
  <c r="FH213" i="2" s="1"/>
  <c r="FJ213" i="2"/>
  <c r="FK213" i="2"/>
  <c r="FL213" i="2" s="1"/>
  <c r="FP213" i="2"/>
  <c r="FQ213" i="2"/>
  <c r="FR213" i="2" s="1"/>
  <c r="L214" i="2"/>
  <c r="FG214" i="2"/>
  <c r="FH214" i="2" s="1"/>
  <c r="L215" i="2"/>
  <c r="FG215" i="2"/>
  <c r="FH215" i="2" s="1"/>
  <c r="L216" i="2"/>
  <c r="BK216" i="2"/>
  <c r="FG216" i="2"/>
  <c r="FH216" i="2" s="1"/>
  <c r="L217" i="2"/>
  <c r="FG217" i="2"/>
  <c r="FH217" i="2" s="1"/>
  <c r="L218" i="2"/>
  <c r="FG218" i="2"/>
  <c r="FH218" i="2"/>
  <c r="L219" i="2"/>
  <c r="FG219" i="2"/>
  <c r="FH219" i="2"/>
  <c r="L220" i="2"/>
  <c r="FG220" i="2"/>
  <c r="FH220" i="2" s="1"/>
  <c r="L221" i="2"/>
  <c r="FG221" i="2"/>
  <c r="FH221" i="2" s="1"/>
  <c r="L222" i="2"/>
  <c r="BK222" i="2"/>
  <c r="FG222" i="2"/>
  <c r="FH222" i="2" s="1"/>
  <c r="L223" i="2"/>
  <c r="FG223" i="2"/>
  <c r="FH223" i="2" s="1"/>
  <c r="L224" i="2"/>
  <c r="FG224" i="2"/>
  <c r="FH224" i="2"/>
  <c r="L225" i="2"/>
  <c r="BK225" i="2"/>
  <c r="CG225" i="2"/>
  <c r="FG225" i="2"/>
  <c r="FH225" i="2"/>
  <c r="L226" i="2"/>
  <c r="BK226" i="2"/>
  <c r="FG226" i="2"/>
  <c r="FH226" i="2" s="1"/>
  <c r="L227" i="2"/>
  <c r="BK227" i="2"/>
  <c r="FG227" i="2"/>
  <c r="FH227" i="2" s="1"/>
  <c r="L228" i="2"/>
  <c r="FG228" i="2"/>
  <c r="FH228" i="2" s="1"/>
  <c r="L229" i="2"/>
  <c r="FG229" i="2"/>
  <c r="FH229" i="2" s="1"/>
  <c r="L230" i="2"/>
  <c r="FG230" i="2"/>
  <c r="FH230" i="2"/>
  <c r="L231" i="2"/>
  <c r="BK231" i="2"/>
  <c r="DL231" i="2"/>
  <c r="DS231" i="2" s="1"/>
  <c r="DW231" i="2"/>
  <c r="DX231" i="2"/>
  <c r="DY231" i="2"/>
  <c r="EA231" i="2"/>
  <c r="ED231" i="2"/>
  <c r="EE231" i="2"/>
  <c r="EJ231" i="2"/>
  <c r="EL231" i="2"/>
  <c r="FG231" i="2"/>
  <c r="FH231" i="2"/>
  <c r="FJ231" i="2"/>
  <c r="FK231" i="2"/>
  <c r="FL231" i="2"/>
  <c r="FM231" i="2"/>
  <c r="FN231" i="2"/>
  <c r="FO231" i="2" s="1"/>
  <c r="FP231" i="2"/>
  <c r="FQ231" i="2"/>
  <c r="FR231" i="2" s="1"/>
  <c r="L232" i="2"/>
  <c r="BK232" i="2"/>
  <c r="DL232" i="2"/>
  <c r="DS232" i="2" s="1"/>
  <c r="DW232" i="2"/>
  <c r="DX232" i="2"/>
  <c r="EJ232" i="2" s="1"/>
  <c r="DY232" i="2"/>
  <c r="ED232" i="2"/>
  <c r="FM232" i="2" s="1"/>
  <c r="EL232" i="2"/>
  <c r="FG232" i="2"/>
  <c r="FH232" i="2"/>
  <c r="FJ232" i="2"/>
  <c r="FK232" i="2"/>
  <c r="FL232" i="2" s="1"/>
  <c r="FN232" i="2"/>
  <c r="FO232" i="2" s="1"/>
  <c r="FP232" i="2"/>
  <c r="FQ232" i="2"/>
  <c r="FR232" i="2" s="1"/>
  <c r="L233" i="2"/>
  <c r="BK233" i="2"/>
  <c r="FG233" i="2"/>
  <c r="FH233" i="2" s="1"/>
  <c r="L234" i="2"/>
  <c r="BK234" i="2"/>
  <c r="FG234" i="2"/>
  <c r="FH234" i="2"/>
  <c r="L235" i="2"/>
  <c r="BK235" i="2"/>
  <c r="DL235" i="2"/>
  <c r="DS235" i="2"/>
  <c r="DW235" i="2"/>
  <c r="DX235" i="2"/>
  <c r="EJ235" i="2" s="1"/>
  <c r="DY235" i="2"/>
  <c r="EA235" i="2"/>
  <c r="ED235" i="2"/>
  <c r="FM235" i="2" s="1"/>
  <c r="EE235" i="2"/>
  <c r="EL235" i="2"/>
  <c r="FG235" i="2"/>
  <c r="FH235" i="2"/>
  <c r="FJ235" i="2"/>
  <c r="FK235" i="2"/>
  <c r="FL235" i="2"/>
  <c r="FN235" i="2"/>
  <c r="FO235" i="2" s="1"/>
  <c r="FP235" i="2"/>
  <c r="FQ235" i="2"/>
  <c r="FR235" i="2" s="1"/>
  <c r="L236" i="2"/>
  <c r="FG236" i="2"/>
  <c r="FH236" i="2"/>
  <c r="L237" i="2"/>
  <c r="BK237" i="2"/>
  <c r="CG237" i="2"/>
  <c r="DL237" i="2"/>
  <c r="DS237" i="2"/>
  <c r="DW237" i="2"/>
  <c r="DX237" i="2"/>
  <c r="EJ237" i="2" s="1"/>
  <c r="DY237" i="2"/>
  <c r="EA237" i="2"/>
  <c r="ED237" i="2"/>
  <c r="EE237" i="2"/>
  <c r="EL237" i="2"/>
  <c r="L238" i="2"/>
  <c r="BK238" i="2"/>
  <c r="DL238" i="2"/>
  <c r="EA238" i="2" s="1"/>
  <c r="DS238" i="2"/>
  <c r="DW238" i="2"/>
  <c r="DX238" i="2"/>
  <c r="EJ238" i="2" s="1"/>
  <c r="DY238" i="2"/>
  <c r="ED238" i="2"/>
  <c r="EL238" i="2"/>
  <c r="L239" i="2"/>
  <c r="CG239" i="2"/>
  <c r="L240" i="2"/>
  <c r="BK240" i="2"/>
  <c r="DL240" i="2"/>
  <c r="DS240" i="2" s="1"/>
  <c r="DW240" i="2"/>
  <c r="DX240" i="2"/>
  <c r="EJ240" i="2" s="1"/>
  <c r="DY240" i="2"/>
  <c r="EA240" i="2"/>
  <c r="ED240" i="2"/>
  <c r="EE240" i="2"/>
  <c r="EL240" i="2"/>
  <c r="L241" i="2"/>
  <c r="L242" i="2"/>
  <c r="L243" i="2"/>
  <c r="L244" i="2"/>
  <c r="L245" i="2"/>
  <c r="L246" i="2"/>
  <c r="L247" i="2"/>
  <c r="CG247" i="2"/>
  <c r="L248" i="2"/>
  <c r="L249" i="2"/>
  <c r="CG249" i="2"/>
  <c r="L250" i="2"/>
  <c r="CG250" i="2"/>
  <c r="L251" i="2"/>
  <c r="L252" i="2"/>
  <c r="L253" i="2"/>
  <c r="L254" i="2"/>
  <c r="CG254" i="2"/>
  <c r="FM172" i="2" l="1"/>
  <c r="EA169" i="2"/>
  <c r="FI153" i="2"/>
  <c r="FM144" i="2"/>
  <c r="FM142" i="2"/>
  <c r="FM139" i="2"/>
  <c r="EL136" i="2"/>
  <c r="EL134" i="2"/>
  <c r="EL127" i="2"/>
  <c r="FM121" i="2"/>
  <c r="FN121" i="2"/>
  <c r="FO121" i="2" s="1"/>
  <c r="EA115" i="2"/>
  <c r="EL115" i="2"/>
  <c r="FM13" i="2"/>
  <c r="FN13" i="2"/>
  <c r="FO13" i="2" s="1"/>
  <c r="FM213" i="2"/>
  <c r="EL194" i="2"/>
  <c r="FN191" i="2"/>
  <c r="FO191" i="2" s="1"/>
  <c r="EL174" i="2"/>
  <c r="EL153" i="2"/>
  <c r="EA151" i="2"/>
  <c r="EL145" i="2"/>
  <c r="FM109" i="2"/>
  <c r="FN109" i="2"/>
  <c r="FO109" i="2" s="1"/>
  <c r="FI87" i="2"/>
  <c r="FN84" i="2"/>
  <c r="FO84" i="2" s="1"/>
  <c r="FM84" i="2"/>
  <c r="EL55" i="2"/>
  <c r="DS55" i="2"/>
  <c r="EA55" i="2"/>
  <c r="EL51" i="2"/>
  <c r="DS51" i="2"/>
  <c r="EA51" i="2"/>
  <c r="EL34" i="2"/>
  <c r="DS34" i="2"/>
  <c r="EA34" i="2"/>
  <c r="EA187" i="2"/>
  <c r="DS154" i="2"/>
  <c r="DS146" i="2"/>
  <c r="EL138" i="2"/>
  <c r="DS128" i="2"/>
  <c r="FM98" i="2"/>
  <c r="FN98" i="2"/>
  <c r="FO98" i="2" s="1"/>
  <c r="EA136" i="2"/>
  <c r="EA134" i="2"/>
  <c r="EA127" i="2"/>
  <c r="FM57" i="2"/>
  <c r="FN57" i="2"/>
  <c r="FO57" i="2" s="1"/>
  <c r="FN145" i="2"/>
  <c r="FO145" i="2" s="1"/>
  <c r="FN129" i="2"/>
  <c r="FO129" i="2" s="1"/>
  <c r="DS110" i="2"/>
  <c r="FN89" i="2"/>
  <c r="FO89" i="2" s="1"/>
  <c r="FM25" i="2"/>
  <c r="FN25" i="2"/>
  <c r="FO25" i="2" s="1"/>
  <c r="EA195" i="2"/>
  <c r="EA180" i="2"/>
  <c r="FN174" i="2"/>
  <c r="FO174" i="2" s="1"/>
  <c r="EA147" i="2"/>
  <c r="EA138" i="2"/>
  <c r="FM118" i="2"/>
  <c r="FN118" i="2"/>
  <c r="FO118" i="2" s="1"/>
  <c r="FI113" i="2"/>
  <c r="FM104" i="2"/>
  <c r="FN104" i="2"/>
  <c r="FO104" i="2" s="1"/>
  <c r="FM97" i="2"/>
  <c r="FN97" i="2"/>
  <c r="FO97" i="2" s="1"/>
  <c r="FM70" i="2"/>
  <c r="FN70" i="2"/>
  <c r="FO70" i="2" s="1"/>
  <c r="EL41" i="2"/>
  <c r="DS41" i="2"/>
  <c r="EA41" i="2"/>
  <c r="DS187" i="2"/>
  <c r="FN106" i="2"/>
  <c r="FO106" i="2" s="1"/>
  <c r="FM69" i="2"/>
  <c r="FN69" i="2"/>
  <c r="FO69" i="2" s="1"/>
  <c r="FM28" i="2"/>
  <c r="FN28" i="2"/>
  <c r="FO28" i="2" s="1"/>
  <c r="EA232" i="2"/>
  <c r="FM116" i="2"/>
  <c r="FN116" i="2"/>
  <c r="FO116" i="2" s="1"/>
  <c r="FM9" i="2"/>
  <c r="FN9" i="2"/>
  <c r="FO9" i="2" s="1"/>
  <c r="FM75" i="2"/>
  <c r="FN75" i="2"/>
  <c r="FO75" i="2" s="1"/>
  <c r="EL87" i="2"/>
  <c r="DS87" i="2"/>
  <c r="FM46" i="2"/>
  <c r="FN46" i="2"/>
  <c r="FO46" i="2" s="1"/>
  <c r="FM111" i="2"/>
  <c r="FN111" i="2"/>
  <c r="FO111" i="2" s="1"/>
  <c r="DS104" i="2"/>
  <c r="FN73" i="2"/>
  <c r="FO73" i="2" s="1"/>
  <c r="FN67" i="2"/>
  <c r="FO67" i="2" s="1"/>
  <c r="FM60" i="2"/>
  <c r="FN56" i="2"/>
  <c r="FO56" i="2" s="1"/>
  <c r="FN52" i="2"/>
  <c r="FO52" i="2" s="1"/>
  <c r="FN45" i="2"/>
  <c r="FO45" i="2" s="1"/>
  <c r="FM42" i="2"/>
  <c r="FM39" i="2"/>
  <c r="EA38" i="2"/>
  <c r="EA31" i="2"/>
  <c r="FN27" i="2"/>
  <c r="FO27" i="2" s="1"/>
  <c r="FM20" i="2"/>
  <c r="EA19" i="2"/>
  <c r="FM12" i="2"/>
  <c r="FN3" i="2"/>
  <c r="FO3" i="2" s="1"/>
  <c r="EL72" i="2"/>
  <c r="DS53" i="2"/>
  <c r="DS49" i="2"/>
  <c r="EL37" i="2"/>
  <c r="DS36" i="2"/>
  <c r="DS32" i="2"/>
  <c r="EL26" i="2"/>
  <c r="DS24" i="2"/>
  <c r="EL14" i="2"/>
  <c r="EL7" i="2"/>
  <c r="EL86" i="2"/>
  <c r="DS84" i="2"/>
  <c r="EL77" i="2"/>
  <c r="EL58" i="2"/>
  <c r="DS56" i="2"/>
  <c r="DS52" i="2"/>
  <c r="FN44" i="2"/>
  <c r="FO44" i="2" s="1"/>
  <c r="FN30" i="2"/>
  <c r="FO30" i="2" s="1"/>
  <c r="EA72" i="2"/>
  <c r="EA26" i="2"/>
  <c r="FN22" i="2"/>
  <c r="FO22" i="2" s="1"/>
  <c r="FN18" i="2"/>
  <c r="FO18" i="2" s="1"/>
  <c r="EA14" i="2"/>
  <c r="EA10" i="2"/>
  <c r="EA7" i="2"/>
  <c r="FN5" i="2"/>
  <c r="FO5" i="2" s="1"/>
  <c r="FN79" i="2"/>
  <c r="FO79" i="2" s="1"/>
  <c r="EA79" i="2"/>
  <c r="EA17" i="2"/>
  <c r="EL49" i="2"/>
  <c r="EL32" i="2"/>
  <c r="EL24" i="2"/>
</calcChain>
</file>

<file path=xl/comments1.xml><?xml version="1.0" encoding="utf-8"?>
<comments xmlns="http://schemas.openxmlformats.org/spreadsheetml/2006/main">
  <authors>
    <author>Windows 사용자</author>
    <author>SNUH</author>
    <author>snuh</author>
    <author>Tae Hoon Lee</author>
  </authors>
  <commentList>
    <comment ref="D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결격사항이</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1</t>
        </r>
        <r>
          <rPr>
            <sz val="9"/>
            <color indexed="81"/>
            <rFont val="돋움"/>
            <family val="3"/>
            <charset val="129"/>
          </rPr>
          <t>로</t>
        </r>
        <r>
          <rPr>
            <sz val="9"/>
            <color indexed="81"/>
            <rFont val="Tahoma"/>
            <family val="2"/>
          </rPr>
          <t xml:space="preserve"> </t>
        </r>
        <r>
          <rPr>
            <sz val="9"/>
            <color indexed="81"/>
            <rFont val="돋움"/>
            <family val="3"/>
            <charset val="129"/>
          </rPr>
          <t>표시할</t>
        </r>
        <r>
          <rPr>
            <sz val="9"/>
            <color indexed="81"/>
            <rFont val="Tahoma"/>
            <family val="2"/>
          </rPr>
          <t xml:space="preserve"> </t>
        </r>
        <r>
          <rPr>
            <sz val="9"/>
            <color indexed="81"/>
            <rFont val="돋움"/>
            <family val="3"/>
            <charset val="129"/>
          </rPr>
          <t>것</t>
        </r>
      </text>
    </comment>
    <comment ref="G1"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 xml:space="preserve">:
</t>
        </r>
        <r>
          <rPr>
            <sz val="9"/>
            <color rgb="FF000000"/>
            <rFont val="Tahoma"/>
            <family val="2"/>
          </rPr>
          <t xml:space="preserve">SNUH=1
</t>
        </r>
        <r>
          <rPr>
            <sz val="9"/>
            <color rgb="FF000000"/>
            <rFont val="Tahoma"/>
            <family val="2"/>
          </rPr>
          <t>BRMH=2</t>
        </r>
      </text>
    </comment>
    <comment ref="O1" authorId="1" shapeId="0">
      <text>
        <r>
          <rPr>
            <sz val="9"/>
            <color indexed="81"/>
            <rFont val="Tahoma"/>
            <family val="2"/>
          </rPr>
          <t>0 = SqCC
1 = ADC
2 = Other</t>
        </r>
      </text>
    </comment>
    <comment ref="AB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정확히</t>
        </r>
        <r>
          <rPr>
            <sz val="9"/>
            <color indexed="81"/>
            <rFont val="Tahoma"/>
            <family val="2"/>
          </rPr>
          <t xml:space="preserve"> </t>
        </r>
        <r>
          <rPr>
            <sz val="9"/>
            <color indexed="81"/>
            <rFont val="돋움"/>
            <family val="3"/>
            <charset val="129"/>
          </rPr>
          <t>무슨</t>
        </r>
        <r>
          <rPr>
            <sz val="9"/>
            <color indexed="81"/>
            <rFont val="Tahoma"/>
            <family val="2"/>
          </rPr>
          <t xml:space="preserve"> staging</t>
        </r>
        <r>
          <rPr>
            <sz val="9"/>
            <color indexed="81"/>
            <rFont val="돋움"/>
            <family val="3"/>
            <charset val="129"/>
          </rPr>
          <t>이지</t>
        </r>
        <r>
          <rPr>
            <sz val="9"/>
            <color indexed="81"/>
            <rFont val="Tahoma"/>
            <family val="2"/>
          </rPr>
          <t>? A/B</t>
        </r>
        <r>
          <rPr>
            <sz val="9"/>
            <color indexed="81"/>
            <rFont val="돋움"/>
            <family val="3"/>
            <charset val="129"/>
          </rPr>
          <t>는</t>
        </r>
        <r>
          <rPr>
            <sz val="9"/>
            <color indexed="81"/>
            <rFont val="Tahoma"/>
            <family val="2"/>
          </rPr>
          <t xml:space="preserve"> pathologic staging</t>
        </r>
        <r>
          <rPr>
            <sz val="9"/>
            <color indexed="81"/>
            <rFont val="돋움"/>
            <family val="3"/>
            <charset val="129"/>
          </rPr>
          <t>에만</t>
        </r>
        <r>
          <rPr>
            <sz val="9"/>
            <color indexed="81"/>
            <rFont val="Tahoma"/>
            <family val="2"/>
          </rPr>
          <t xml:space="preserve"> </t>
        </r>
        <r>
          <rPr>
            <sz val="9"/>
            <color indexed="81"/>
            <rFont val="돋움"/>
            <family val="3"/>
            <charset val="129"/>
          </rPr>
          <t>있을텐데</t>
        </r>
        <r>
          <rPr>
            <sz val="9"/>
            <color indexed="81"/>
            <rFont val="Tahoma"/>
            <family val="2"/>
          </rPr>
          <t>.</t>
        </r>
      </text>
    </comment>
    <comment ref="AG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사실은</t>
        </r>
        <r>
          <rPr>
            <sz val="9"/>
            <color indexed="81"/>
            <rFont val="Tahoma"/>
            <family val="2"/>
          </rPr>
          <t xml:space="preserve"> stage.m</t>
        </r>
        <r>
          <rPr>
            <sz val="9"/>
            <color indexed="81"/>
            <rFont val="돋움"/>
            <family val="3"/>
            <charset val="129"/>
          </rPr>
          <t>과</t>
        </r>
        <r>
          <rPr>
            <sz val="9"/>
            <color indexed="81"/>
            <rFont val="Tahoma"/>
            <family val="2"/>
          </rPr>
          <t xml:space="preserve"> 1</t>
        </r>
        <r>
          <rPr>
            <sz val="9"/>
            <color indexed="81"/>
            <rFont val="돋움"/>
            <family val="3"/>
            <charset val="129"/>
          </rPr>
          <t>명</t>
        </r>
        <r>
          <rPr>
            <sz val="9"/>
            <color indexed="81"/>
            <rFont val="Tahoma"/>
            <family val="2"/>
          </rPr>
          <t xml:space="preserve"> </t>
        </r>
        <r>
          <rPr>
            <sz val="9"/>
            <color indexed="81"/>
            <rFont val="돋움"/>
            <family val="3"/>
            <charset val="129"/>
          </rPr>
          <t>외에는</t>
        </r>
        <r>
          <rPr>
            <sz val="9"/>
            <color indexed="81"/>
            <rFont val="Tahoma"/>
            <family val="2"/>
          </rPr>
          <t xml:space="preserve"> </t>
        </r>
        <r>
          <rPr>
            <sz val="9"/>
            <color indexed="81"/>
            <rFont val="돋움"/>
            <family val="3"/>
            <charset val="129"/>
          </rPr>
          <t>차이가</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그</t>
        </r>
        <r>
          <rPr>
            <sz val="9"/>
            <color indexed="81"/>
            <rFont val="Tahoma"/>
            <family val="2"/>
          </rPr>
          <t xml:space="preserve"> 1</t>
        </r>
        <r>
          <rPr>
            <sz val="9"/>
            <color indexed="81"/>
            <rFont val="돋움"/>
            <family val="3"/>
            <charset val="129"/>
          </rPr>
          <t>명은</t>
        </r>
        <r>
          <rPr>
            <sz val="9"/>
            <color indexed="81"/>
            <rFont val="Tahoma"/>
            <family val="2"/>
          </rPr>
          <t xml:space="preserve"> lung meta</t>
        </r>
        <r>
          <rPr>
            <sz val="9"/>
            <color indexed="81"/>
            <rFont val="돋움"/>
            <family val="3"/>
            <charset val="129"/>
          </rPr>
          <t>라서</t>
        </r>
        <r>
          <rPr>
            <sz val="9"/>
            <color indexed="81"/>
            <rFont val="Tahoma"/>
            <family val="2"/>
          </rPr>
          <t>...</t>
        </r>
      </text>
    </comment>
    <comment ref="AM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SCL</t>
        </r>
        <r>
          <rPr>
            <sz val="9"/>
            <color indexed="81"/>
            <rFont val="돋움"/>
            <family val="3"/>
            <charset val="129"/>
          </rPr>
          <t>이나</t>
        </r>
        <r>
          <rPr>
            <sz val="9"/>
            <color indexed="81"/>
            <rFont val="Tahoma"/>
            <family val="2"/>
          </rPr>
          <t xml:space="preserve"> celiac axis</t>
        </r>
        <r>
          <rPr>
            <sz val="9"/>
            <color indexed="81"/>
            <rFont val="돋움"/>
            <family val="3"/>
            <charset val="129"/>
          </rPr>
          <t>만</t>
        </r>
        <r>
          <rPr>
            <sz val="9"/>
            <color indexed="81"/>
            <rFont val="Tahoma"/>
            <family val="2"/>
          </rPr>
          <t xml:space="preserve"> </t>
        </r>
        <r>
          <rPr>
            <sz val="9"/>
            <color indexed="81"/>
            <rFont val="돋움"/>
            <family val="3"/>
            <charset val="129"/>
          </rPr>
          <t>보는게</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나으려나</t>
        </r>
        <r>
          <rPr>
            <sz val="9"/>
            <color indexed="81"/>
            <rFont val="Tahoma"/>
            <family val="2"/>
          </rPr>
          <t>? 'mediastinal elective'</t>
        </r>
        <r>
          <rPr>
            <sz val="9"/>
            <color indexed="81"/>
            <rFont val="돋움"/>
            <family val="3"/>
            <charset val="129"/>
          </rPr>
          <t>라는</t>
        </r>
        <r>
          <rPr>
            <sz val="9"/>
            <color indexed="81"/>
            <rFont val="Tahoma"/>
            <family val="2"/>
          </rPr>
          <t xml:space="preserve"> </t>
        </r>
        <r>
          <rPr>
            <sz val="9"/>
            <color indexed="81"/>
            <rFont val="돋움"/>
            <family val="3"/>
            <charset val="129"/>
          </rPr>
          <t>개념은</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어중간하고</t>
        </r>
        <r>
          <rPr>
            <sz val="9"/>
            <color indexed="81"/>
            <rFont val="Tahoma"/>
            <family val="2"/>
          </rPr>
          <t xml:space="preserve"> </t>
        </r>
        <r>
          <rPr>
            <sz val="9"/>
            <color indexed="81"/>
            <rFont val="돋움"/>
            <family val="3"/>
            <charset val="129"/>
          </rPr>
          <t>이상해서</t>
        </r>
        <r>
          <rPr>
            <sz val="9"/>
            <color indexed="81"/>
            <rFont val="Tahoma"/>
            <family val="2"/>
          </rPr>
          <t>.</t>
        </r>
      </text>
    </comment>
    <comment ref="AN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개념이</t>
        </r>
        <r>
          <rPr>
            <sz val="9"/>
            <color indexed="81"/>
            <rFont val="Tahoma"/>
            <family val="2"/>
          </rPr>
          <t xml:space="preserve"> </t>
        </r>
        <r>
          <rPr>
            <sz val="9"/>
            <color indexed="81"/>
            <rFont val="돋움"/>
            <family val="3"/>
            <charset val="129"/>
          </rPr>
          <t>상당히</t>
        </r>
        <r>
          <rPr>
            <sz val="9"/>
            <color indexed="81"/>
            <rFont val="Tahoma"/>
            <family val="2"/>
          </rPr>
          <t xml:space="preserve"> </t>
        </r>
        <r>
          <rPr>
            <sz val="9"/>
            <color indexed="81"/>
            <rFont val="돋움"/>
            <family val="3"/>
            <charset val="129"/>
          </rPr>
          <t>애매하기는</t>
        </r>
        <r>
          <rPr>
            <sz val="9"/>
            <color indexed="81"/>
            <rFont val="Tahoma"/>
            <family val="2"/>
          </rPr>
          <t xml:space="preserve"> </t>
        </r>
        <r>
          <rPr>
            <sz val="9"/>
            <color indexed="81"/>
            <rFont val="돋움"/>
            <family val="3"/>
            <charset val="129"/>
          </rPr>
          <t>한데</t>
        </r>
        <r>
          <rPr>
            <sz val="9"/>
            <color indexed="81"/>
            <rFont val="Tahoma"/>
            <family val="2"/>
          </rPr>
          <t xml:space="preserve">… </t>
        </r>
        <r>
          <rPr>
            <sz val="9"/>
            <color indexed="81"/>
            <rFont val="돋움"/>
            <family val="3"/>
            <charset val="129"/>
          </rPr>
          <t>일단</t>
        </r>
        <r>
          <rPr>
            <sz val="9"/>
            <color indexed="81"/>
            <rFont val="Tahoma"/>
            <family val="2"/>
          </rPr>
          <t xml:space="preserve"> GTV </t>
        </r>
        <r>
          <rPr>
            <sz val="9"/>
            <color indexed="81"/>
            <rFont val="돋움"/>
            <family val="3"/>
            <charset val="129"/>
          </rPr>
          <t>인근의</t>
        </r>
        <r>
          <rPr>
            <sz val="9"/>
            <color indexed="81"/>
            <rFont val="Tahoma"/>
            <family val="2"/>
          </rPr>
          <t xml:space="preserve"> periesophageal LN</t>
        </r>
        <r>
          <rPr>
            <sz val="9"/>
            <color indexed="81"/>
            <rFont val="돋움"/>
            <family val="3"/>
            <charset val="129"/>
          </rPr>
          <t>을</t>
        </r>
        <r>
          <rPr>
            <sz val="9"/>
            <color indexed="81"/>
            <rFont val="Tahoma"/>
            <family val="2"/>
          </rPr>
          <t xml:space="preserve"> </t>
        </r>
        <r>
          <rPr>
            <sz val="9"/>
            <color indexed="81"/>
            <rFont val="돋움"/>
            <family val="3"/>
            <charset val="129"/>
          </rPr>
          <t>포함한</t>
        </r>
        <r>
          <rPr>
            <sz val="9"/>
            <color indexed="81"/>
            <rFont val="Tahoma"/>
            <family val="2"/>
          </rPr>
          <t xml:space="preserve"> </t>
        </r>
        <r>
          <rPr>
            <sz val="9"/>
            <color indexed="81"/>
            <rFont val="돋움"/>
            <family val="3"/>
            <charset val="129"/>
          </rPr>
          <t>경우는</t>
        </r>
        <r>
          <rPr>
            <sz val="9"/>
            <color indexed="81"/>
            <rFont val="Tahoma"/>
            <family val="2"/>
          </rPr>
          <t xml:space="preserve"> elective</t>
        </r>
        <r>
          <rPr>
            <sz val="9"/>
            <color indexed="81"/>
            <rFont val="돋움"/>
            <family val="3"/>
            <charset val="129"/>
          </rPr>
          <t>라고</t>
        </r>
        <r>
          <rPr>
            <sz val="9"/>
            <color indexed="81"/>
            <rFont val="Tahoma"/>
            <family val="2"/>
          </rPr>
          <t xml:space="preserve"> </t>
        </r>
        <r>
          <rPr>
            <sz val="9"/>
            <color indexed="81"/>
            <rFont val="돋움"/>
            <family val="3"/>
            <charset val="129"/>
          </rPr>
          <t>보지</t>
        </r>
        <r>
          <rPr>
            <sz val="9"/>
            <color indexed="81"/>
            <rFont val="Tahoma"/>
            <family val="2"/>
          </rPr>
          <t xml:space="preserve"> </t>
        </r>
        <r>
          <rPr>
            <sz val="9"/>
            <color indexed="81"/>
            <rFont val="돋움"/>
            <family val="3"/>
            <charset val="129"/>
          </rPr>
          <t>않는다</t>
        </r>
        <r>
          <rPr>
            <sz val="9"/>
            <color indexed="81"/>
            <rFont val="Tahoma"/>
            <family val="2"/>
          </rPr>
          <t>.</t>
        </r>
      </text>
    </comment>
    <comment ref="AQ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최근</t>
        </r>
        <r>
          <rPr>
            <sz val="9"/>
            <color indexed="81"/>
            <rFont val="Tahoma"/>
            <family val="2"/>
          </rPr>
          <t xml:space="preserve"> </t>
        </r>
        <r>
          <rPr>
            <sz val="9"/>
            <color indexed="81"/>
            <rFont val="돋움"/>
            <family val="3"/>
            <charset val="129"/>
          </rPr>
          <t>일부</t>
        </r>
        <r>
          <rPr>
            <sz val="9"/>
            <color indexed="81"/>
            <rFont val="Tahoma"/>
            <family val="2"/>
          </rPr>
          <t xml:space="preserve"> </t>
        </r>
        <r>
          <rPr>
            <sz val="9"/>
            <color indexed="81"/>
            <rFont val="돋움"/>
            <family val="3"/>
            <charset val="129"/>
          </rPr>
          <t>환자들은</t>
        </r>
        <r>
          <rPr>
            <sz val="9"/>
            <color indexed="81"/>
            <rFont val="Tahoma"/>
            <family val="2"/>
          </rPr>
          <t xml:space="preserve"> para-esophageal LN area</t>
        </r>
        <r>
          <rPr>
            <sz val="9"/>
            <color indexed="81"/>
            <rFont val="돋움"/>
            <family val="3"/>
            <charset val="129"/>
          </rPr>
          <t>고</t>
        </r>
        <r>
          <rPr>
            <sz val="9"/>
            <color indexed="81"/>
            <rFont val="Tahoma"/>
            <family val="2"/>
          </rPr>
          <t xml:space="preserve"> </t>
        </r>
        <r>
          <rPr>
            <sz val="9"/>
            <color indexed="81"/>
            <rFont val="돋움"/>
            <family val="3"/>
            <charset val="129"/>
          </rPr>
          <t>뭐고</t>
        </r>
        <r>
          <rPr>
            <sz val="9"/>
            <color indexed="81"/>
            <rFont val="Tahoma"/>
            <family val="2"/>
          </rPr>
          <t xml:space="preserve"> </t>
        </r>
        <r>
          <rPr>
            <sz val="9"/>
            <color indexed="81"/>
            <rFont val="돋움"/>
            <family val="3"/>
            <charset val="129"/>
          </rPr>
          <t>그냥</t>
        </r>
        <r>
          <rPr>
            <sz val="9"/>
            <color indexed="81"/>
            <rFont val="Tahoma"/>
            <family val="2"/>
          </rPr>
          <t xml:space="preserve"> GTV</t>
        </r>
        <r>
          <rPr>
            <sz val="9"/>
            <color indexed="81"/>
            <rFont val="돋움"/>
            <family val="3"/>
            <charset val="129"/>
          </rPr>
          <t>에서</t>
        </r>
        <r>
          <rPr>
            <sz val="9"/>
            <color indexed="81"/>
            <rFont val="Tahoma"/>
            <family val="2"/>
          </rPr>
          <t xml:space="preserve"> CTV margin expansion</t>
        </r>
        <r>
          <rPr>
            <sz val="9"/>
            <color indexed="81"/>
            <rFont val="돋움"/>
            <family val="3"/>
            <charset val="129"/>
          </rPr>
          <t>하고</t>
        </r>
        <r>
          <rPr>
            <sz val="9"/>
            <color indexed="81"/>
            <rFont val="Tahoma"/>
            <family val="2"/>
          </rPr>
          <t xml:space="preserve"> esophagus </t>
        </r>
        <r>
          <rPr>
            <sz val="9"/>
            <color indexed="81"/>
            <rFont val="돋움"/>
            <family val="3"/>
            <charset val="129"/>
          </rPr>
          <t>따라서</t>
        </r>
        <r>
          <rPr>
            <sz val="9"/>
            <color indexed="81"/>
            <rFont val="Tahoma"/>
            <family val="2"/>
          </rPr>
          <t xml:space="preserve"> </t>
        </r>
        <r>
          <rPr>
            <sz val="9"/>
            <color indexed="81"/>
            <rFont val="돋움"/>
            <family val="3"/>
            <charset val="129"/>
          </rPr>
          <t>약간의</t>
        </r>
        <r>
          <rPr>
            <sz val="9"/>
            <color indexed="81"/>
            <rFont val="Tahoma"/>
            <family val="2"/>
          </rPr>
          <t xml:space="preserve"> CTV </t>
        </r>
        <r>
          <rPr>
            <sz val="9"/>
            <color indexed="81"/>
            <rFont val="돋움"/>
            <family val="3"/>
            <charset val="129"/>
          </rPr>
          <t>조절만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마는</t>
        </r>
        <r>
          <rPr>
            <sz val="9"/>
            <color indexed="81"/>
            <rFont val="Tahoma"/>
            <family val="2"/>
          </rPr>
          <t xml:space="preserve"> target volume</t>
        </r>
        <r>
          <rPr>
            <sz val="9"/>
            <color indexed="81"/>
            <rFont val="돋움"/>
            <family val="3"/>
            <charset val="129"/>
          </rPr>
          <t>인</t>
        </r>
        <r>
          <rPr>
            <sz val="9"/>
            <color indexed="81"/>
            <rFont val="Tahoma"/>
            <family val="2"/>
          </rPr>
          <t xml:space="preserve"> </t>
        </r>
        <r>
          <rPr>
            <sz val="9"/>
            <color indexed="81"/>
            <rFont val="돋움"/>
            <family val="3"/>
            <charset val="129"/>
          </rPr>
          <t>경우가</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이럴</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이걸</t>
        </r>
        <r>
          <rPr>
            <sz val="9"/>
            <color indexed="81"/>
            <rFont val="Tahoma"/>
            <family val="2"/>
          </rPr>
          <t xml:space="preserve"> 1</t>
        </r>
        <r>
          <rPr>
            <sz val="9"/>
            <color indexed="81"/>
            <rFont val="돋움"/>
            <family val="3"/>
            <charset val="129"/>
          </rPr>
          <t>로</t>
        </r>
        <r>
          <rPr>
            <sz val="9"/>
            <color indexed="81"/>
            <rFont val="Tahoma"/>
            <family val="2"/>
          </rPr>
          <t xml:space="preserve"> </t>
        </r>
        <r>
          <rPr>
            <sz val="9"/>
            <color indexed="81"/>
            <rFont val="돋움"/>
            <family val="3"/>
            <charset val="129"/>
          </rPr>
          <t>하자</t>
        </r>
        <r>
          <rPr>
            <sz val="9"/>
            <color indexed="81"/>
            <rFont val="Tahoma"/>
            <family val="2"/>
          </rPr>
          <t>.</t>
        </r>
      </text>
    </comment>
    <comment ref="AR1"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t>
        </r>
        <r>
          <rPr>
            <sz val="9"/>
            <color rgb="FF000000"/>
            <rFont val="Tahoma"/>
            <family val="2"/>
          </rPr>
          <t xml:space="preserve">
"True_IFI" &amp; primary GTV to CTV expansion 2cm, LN GTV to CTV expansion &lt;1.0cm</t>
        </r>
      </text>
    </comment>
    <comment ref="AS1"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t>
        </r>
        <r>
          <rPr>
            <sz val="9"/>
            <color rgb="FF000000"/>
            <rFont val="Tahoma"/>
            <family val="2"/>
          </rPr>
          <t xml:space="preserve">
longitudinal </t>
        </r>
        <r>
          <rPr>
            <sz val="9"/>
            <color rgb="FF000000"/>
            <rFont val="돋움"/>
            <family val="2"/>
            <charset val="129"/>
          </rPr>
          <t>방향으로</t>
        </r>
        <r>
          <rPr>
            <sz val="9"/>
            <color rgb="FF000000"/>
            <rFont val="Tahoma"/>
            <family val="2"/>
          </rPr>
          <t xml:space="preserve"> elective field </t>
        </r>
        <r>
          <rPr>
            <sz val="9"/>
            <color rgb="FF000000"/>
            <rFont val="돋움"/>
            <family val="2"/>
            <charset val="129"/>
          </rPr>
          <t>없음</t>
        </r>
        <r>
          <rPr>
            <sz val="9"/>
            <color rgb="FF000000"/>
            <rFont val="Tahoma"/>
            <family val="2"/>
          </rPr>
          <t xml:space="preserve"> &amp; primary SI expansion 2cm &amp; LN SI expansion &lt;1.0cm</t>
        </r>
      </text>
    </comment>
    <comment ref="AT1"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t>
        </r>
        <r>
          <rPr>
            <sz val="9"/>
            <color rgb="FF000000"/>
            <rFont val="Tahoma"/>
            <family val="2"/>
          </rPr>
          <t xml:space="preserve">
longitudinal </t>
        </r>
        <r>
          <rPr>
            <sz val="9"/>
            <color rgb="FF000000"/>
            <rFont val="돋움"/>
            <family val="2"/>
            <charset val="129"/>
          </rPr>
          <t>방향으로</t>
        </r>
        <r>
          <rPr>
            <sz val="9"/>
            <color rgb="FF000000"/>
            <rFont val="Tahoma"/>
            <family val="2"/>
          </rPr>
          <t xml:space="preserve"> elective field </t>
        </r>
        <r>
          <rPr>
            <sz val="9"/>
            <color rgb="FF000000"/>
            <rFont val="돋움"/>
            <family val="2"/>
            <charset val="129"/>
          </rPr>
          <t>없음</t>
        </r>
        <r>
          <rPr>
            <sz val="9"/>
            <color rgb="FF000000"/>
            <rFont val="Tahoma"/>
            <family val="2"/>
          </rPr>
          <t xml:space="preserve"> (</t>
        </r>
        <r>
          <rPr>
            <sz val="9"/>
            <color rgb="FF000000"/>
            <rFont val="돋움"/>
            <family val="2"/>
            <charset val="129"/>
          </rPr>
          <t>하지만</t>
        </r>
        <r>
          <rPr>
            <sz val="9"/>
            <color rgb="FF000000"/>
            <rFont val="Tahoma"/>
            <family val="2"/>
          </rPr>
          <t xml:space="preserve"> contralateral SCL irradiation</t>
        </r>
        <r>
          <rPr>
            <sz val="9"/>
            <color rgb="FF000000"/>
            <rFont val="돋움"/>
            <family val="2"/>
            <charset val="129"/>
          </rPr>
          <t>은</t>
        </r>
        <r>
          <rPr>
            <sz val="9"/>
            <color rgb="FF000000"/>
            <rFont val="Tahoma"/>
            <family val="2"/>
          </rPr>
          <t xml:space="preserve"> allowed) &amp; primary SI expansion 2cm. </t>
        </r>
        <r>
          <rPr>
            <sz val="9"/>
            <color rgb="FF000000"/>
            <rFont val="돋움"/>
            <family val="2"/>
            <charset val="129"/>
          </rPr>
          <t>보다</t>
        </r>
        <r>
          <rPr>
            <sz val="9"/>
            <color rgb="FF000000"/>
            <rFont val="Tahoma"/>
            <family val="2"/>
          </rPr>
          <t xml:space="preserve"> primary SI expansion</t>
        </r>
        <r>
          <rPr>
            <sz val="9"/>
            <color rgb="FF000000"/>
            <rFont val="돋움"/>
            <family val="2"/>
            <charset val="129"/>
          </rPr>
          <t>에</t>
        </r>
        <r>
          <rPr>
            <sz val="9"/>
            <color rgb="FF000000"/>
            <rFont val="Tahoma"/>
            <family val="2"/>
          </rPr>
          <t xml:space="preserve"> </t>
        </r>
        <r>
          <rPr>
            <sz val="9"/>
            <color rgb="FF000000"/>
            <rFont val="돋움"/>
            <family val="2"/>
            <charset val="129"/>
          </rPr>
          <t>집중한</t>
        </r>
        <r>
          <rPr>
            <sz val="9"/>
            <color rgb="FF000000"/>
            <rFont val="Tahoma"/>
            <family val="2"/>
          </rPr>
          <t xml:space="preserve"> </t>
        </r>
      </text>
    </comment>
    <comment ref="BA1"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t>
        </r>
        <r>
          <rPr>
            <sz val="9"/>
            <color rgb="FF000000"/>
            <rFont val="Tahoma"/>
            <family val="2"/>
          </rPr>
          <t xml:space="preserve">
</t>
        </r>
        <r>
          <rPr>
            <sz val="9"/>
            <color rgb="FF000000"/>
            <rFont val="Tahoma"/>
            <family val="2"/>
          </rPr>
          <t xml:space="preserve">Axial cut </t>
        </r>
        <r>
          <rPr>
            <sz val="9"/>
            <color rgb="FF000000"/>
            <rFont val="돋움"/>
            <family val="2"/>
            <charset val="129"/>
          </rPr>
          <t>수</t>
        </r>
        <r>
          <rPr>
            <sz val="9"/>
            <color rgb="FF000000"/>
            <rFont val="Tahoma"/>
            <family val="2"/>
          </rPr>
          <t xml:space="preserve"> * slice thickness</t>
        </r>
      </text>
    </comment>
    <comment ref="BB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cc</t>
        </r>
      </text>
    </comment>
    <comment ref="BC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GTV </t>
        </r>
        <r>
          <rPr>
            <sz val="9"/>
            <color indexed="81"/>
            <rFont val="돋움"/>
            <family val="3"/>
            <charset val="129"/>
          </rPr>
          <t>위로</t>
        </r>
        <r>
          <rPr>
            <sz val="9"/>
            <color indexed="81"/>
            <rFont val="Tahoma"/>
            <family val="2"/>
          </rPr>
          <t xml:space="preserve"> esophagus</t>
        </r>
        <r>
          <rPr>
            <sz val="9"/>
            <color indexed="81"/>
            <rFont val="돋움"/>
            <family val="3"/>
            <charset val="129"/>
          </rPr>
          <t>가</t>
        </r>
        <r>
          <rPr>
            <sz val="9"/>
            <color indexed="81"/>
            <rFont val="Tahoma"/>
            <family val="2"/>
          </rPr>
          <t xml:space="preserve"> cover</t>
        </r>
        <r>
          <rPr>
            <sz val="9"/>
            <color indexed="81"/>
            <rFont val="돋움"/>
            <family val="3"/>
            <charset val="129"/>
          </rPr>
          <t>된</t>
        </r>
        <r>
          <rPr>
            <sz val="9"/>
            <color indexed="81"/>
            <rFont val="Tahoma"/>
            <family val="2"/>
          </rPr>
          <t xml:space="preserve"> axial cut * slice thickness</t>
        </r>
      </text>
    </comment>
    <comment ref="BE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cc</t>
        </r>
      </text>
    </comment>
    <comment ref="BU1" authorId="1" shapeId="0">
      <text>
        <r>
          <rPr>
            <b/>
            <sz val="9"/>
            <color indexed="81"/>
            <rFont val="Tahoma"/>
            <family val="2"/>
          </rPr>
          <t>SNUH:</t>
        </r>
        <r>
          <rPr>
            <sz val="9"/>
            <color indexed="81"/>
            <rFont val="Tahoma"/>
            <family val="2"/>
          </rPr>
          <t xml:space="preserve">
CCRT with CTx cycle #</t>
        </r>
      </text>
    </comment>
    <comment ref="BX1" authorId="1" shapeId="0">
      <text>
        <r>
          <rPr>
            <b/>
            <sz val="9"/>
            <color indexed="81"/>
            <rFont val="Tahoma"/>
            <family val="2"/>
          </rPr>
          <t>SNUH:</t>
        </r>
        <r>
          <rPr>
            <sz val="9"/>
            <color indexed="81"/>
            <rFont val="Tahoma"/>
            <family val="2"/>
          </rPr>
          <t xml:space="preserve">
</t>
        </r>
        <r>
          <rPr>
            <sz val="9"/>
            <color indexed="81"/>
            <rFont val="돋움"/>
            <family val="3"/>
            <charset val="129"/>
          </rPr>
          <t>대개</t>
        </r>
        <r>
          <rPr>
            <sz val="9"/>
            <color indexed="81"/>
            <rFont val="Tahoma"/>
            <family val="2"/>
          </rPr>
          <t xml:space="preserve"> band</t>
        </r>
        <r>
          <rPr>
            <sz val="9"/>
            <color indexed="81"/>
            <rFont val="돋움"/>
            <family val="3"/>
            <charset val="129"/>
          </rPr>
          <t>는</t>
        </r>
        <r>
          <rPr>
            <sz val="9"/>
            <color indexed="81"/>
            <rFont val="Tahoma"/>
            <family val="2"/>
          </rPr>
          <t xml:space="preserve"> 0</t>
        </r>
        <r>
          <rPr>
            <sz val="9"/>
            <color indexed="81"/>
            <rFont val="돋움"/>
            <family val="3"/>
            <charset val="129"/>
          </rPr>
          <t>이다</t>
        </r>
        <r>
          <rPr>
            <sz val="9"/>
            <color indexed="81"/>
            <rFont val="Tahoma"/>
            <family val="2"/>
          </rPr>
          <t>.</t>
        </r>
      </text>
    </comment>
    <comment ref="CB1" authorId="1" shapeId="0">
      <text>
        <r>
          <rPr>
            <b/>
            <sz val="9"/>
            <color indexed="81"/>
            <rFont val="Tahoma"/>
            <family val="2"/>
          </rPr>
          <t>SNUH:</t>
        </r>
        <r>
          <rPr>
            <sz val="9"/>
            <color indexed="81"/>
            <rFont val="Tahoma"/>
            <family val="2"/>
          </rPr>
          <t xml:space="preserve">
m2</t>
        </r>
      </text>
    </comment>
    <comment ref="CE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수술</t>
        </r>
        <r>
          <rPr>
            <sz val="9"/>
            <color indexed="81"/>
            <rFont val="Tahoma"/>
            <family val="2"/>
          </rPr>
          <t xml:space="preserve"> </t>
        </r>
        <r>
          <rPr>
            <sz val="9"/>
            <color indexed="81"/>
            <rFont val="돋움"/>
            <family val="3"/>
            <charset val="129"/>
          </rPr>
          <t>시행</t>
        </r>
        <r>
          <rPr>
            <sz val="9"/>
            <color indexed="81"/>
            <rFont val="Tahoma"/>
            <family val="2"/>
          </rPr>
          <t xml:space="preserve"> </t>
        </r>
        <r>
          <rPr>
            <sz val="9"/>
            <color indexed="81"/>
            <rFont val="돋움"/>
            <family val="3"/>
            <charset val="129"/>
          </rPr>
          <t>했으면</t>
        </r>
        <r>
          <rPr>
            <sz val="9"/>
            <color indexed="81"/>
            <rFont val="Tahoma"/>
            <family val="2"/>
          </rPr>
          <t xml:space="preserve"> 1
</t>
        </r>
        <r>
          <rPr>
            <sz val="9"/>
            <color indexed="81"/>
            <rFont val="돋움"/>
            <family val="3"/>
            <charset val="129"/>
          </rPr>
          <t>안했으면</t>
        </r>
        <r>
          <rPr>
            <sz val="9"/>
            <color indexed="81"/>
            <rFont val="Tahoma"/>
            <family val="2"/>
          </rPr>
          <t xml:space="preserve"> 0
open &amp; close</t>
        </r>
        <r>
          <rPr>
            <sz val="9"/>
            <color indexed="81"/>
            <rFont val="돋움"/>
            <family val="3"/>
            <charset val="129"/>
          </rPr>
          <t>라면</t>
        </r>
        <r>
          <rPr>
            <sz val="9"/>
            <color indexed="81"/>
            <rFont val="Tahoma"/>
            <family val="2"/>
          </rPr>
          <t xml:space="preserve"> 2</t>
        </r>
      </text>
    </comment>
    <comment ref="CJ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2-field</t>
        </r>
        <r>
          <rPr>
            <sz val="9"/>
            <color indexed="81"/>
            <rFont val="돋움"/>
            <family val="3"/>
            <charset val="129"/>
          </rPr>
          <t>인지</t>
        </r>
        <r>
          <rPr>
            <sz val="9"/>
            <color indexed="81"/>
            <rFont val="Tahoma"/>
            <family val="2"/>
          </rPr>
          <t xml:space="preserve"> 3-field</t>
        </r>
        <r>
          <rPr>
            <sz val="9"/>
            <color indexed="81"/>
            <rFont val="돋움"/>
            <family val="3"/>
            <charset val="129"/>
          </rPr>
          <t>인지</t>
        </r>
      </text>
    </comment>
    <comment ref="CW1" authorId="1" shapeId="0">
      <text>
        <r>
          <rPr>
            <b/>
            <sz val="9"/>
            <color indexed="81"/>
            <rFont val="Tahoma"/>
            <family val="2"/>
          </rPr>
          <t>SNUH:</t>
        </r>
        <r>
          <rPr>
            <sz val="9"/>
            <color indexed="81"/>
            <rFont val="Tahoma"/>
            <family val="2"/>
          </rPr>
          <t xml:space="preserve">
cm</t>
        </r>
      </text>
    </comment>
    <comment ref="DP1" authorId="1" shapeId="0">
      <text>
        <r>
          <rPr>
            <b/>
            <sz val="9"/>
            <color rgb="FF000000"/>
            <rFont val="Tahoma"/>
            <family val="2"/>
          </rPr>
          <t>SNUH:</t>
        </r>
        <r>
          <rPr>
            <sz val="9"/>
            <color rgb="FF000000"/>
            <rFont val="Tahoma"/>
            <family val="2"/>
          </rPr>
          <t xml:space="preserve">
</t>
        </r>
        <r>
          <rPr>
            <sz val="9"/>
            <color rgb="FF000000"/>
            <rFont val="Tahoma"/>
            <family val="2"/>
          </rPr>
          <t xml:space="preserve">2021/4/19: </t>
        </r>
        <r>
          <rPr>
            <sz val="9"/>
            <color rgb="FF000000"/>
            <rFont val="돋움"/>
            <family val="2"/>
            <charset val="129"/>
          </rPr>
          <t>아무래도</t>
        </r>
        <r>
          <rPr>
            <sz val="9"/>
            <color rgb="FF000000"/>
            <rFont val="Tahoma"/>
            <family val="2"/>
          </rPr>
          <t xml:space="preserve"> </t>
        </r>
        <r>
          <rPr>
            <sz val="9"/>
            <color rgb="FF000000"/>
            <rFont val="돋움"/>
            <family val="2"/>
            <charset val="129"/>
          </rPr>
          <t>이건</t>
        </r>
        <r>
          <rPr>
            <sz val="9"/>
            <color rgb="FF000000"/>
            <rFont val="Tahoma"/>
            <family val="2"/>
          </rPr>
          <t xml:space="preserve"> locoregional relapse: in-field, out-field </t>
        </r>
        <r>
          <rPr>
            <sz val="9"/>
            <color rgb="FF000000"/>
            <rFont val="돋움"/>
            <family val="2"/>
            <charset val="129"/>
          </rPr>
          <t>및</t>
        </r>
        <r>
          <rPr>
            <sz val="9"/>
            <color rgb="FF000000"/>
            <rFont val="Tahoma"/>
            <family val="2"/>
          </rPr>
          <t xml:space="preserve"> distal relapse</t>
        </r>
        <r>
          <rPr>
            <sz val="9"/>
            <color rgb="FF000000"/>
            <rFont val="돋움"/>
            <family val="2"/>
            <charset val="129"/>
          </rPr>
          <t>를</t>
        </r>
        <r>
          <rPr>
            <sz val="9"/>
            <color rgb="FF000000"/>
            <rFont val="Tahoma"/>
            <family val="2"/>
          </rPr>
          <t xml:space="preserve"> </t>
        </r>
        <r>
          <rPr>
            <sz val="9"/>
            <color rgb="FF000000"/>
            <rFont val="돋움"/>
            <family val="2"/>
            <charset val="129"/>
          </rPr>
          <t>구분하는</t>
        </r>
        <r>
          <rPr>
            <sz val="9"/>
            <color rgb="FF000000"/>
            <rFont val="Tahoma"/>
            <family val="2"/>
          </rPr>
          <t xml:space="preserve"> </t>
        </r>
        <r>
          <rPr>
            <sz val="9"/>
            <color rgb="FF000000"/>
            <rFont val="돋움"/>
            <family val="2"/>
            <charset val="129"/>
          </rPr>
          <t>것이</t>
        </r>
        <r>
          <rPr>
            <sz val="9"/>
            <color rgb="FF000000"/>
            <rFont val="Tahoma"/>
            <family val="2"/>
          </rPr>
          <t xml:space="preserve"> </t>
        </r>
        <r>
          <rPr>
            <sz val="9"/>
            <color rgb="FF000000"/>
            <rFont val="돋움"/>
            <family val="2"/>
            <charset val="129"/>
          </rPr>
          <t>좋겠다</t>
        </r>
        <r>
          <rPr>
            <sz val="9"/>
            <color rgb="FF000000"/>
            <rFont val="Tahoma"/>
            <family val="2"/>
          </rPr>
          <t xml:space="preserve">. Distal </t>
        </r>
        <r>
          <rPr>
            <sz val="9"/>
            <color rgb="FF000000"/>
            <rFont val="돋움"/>
            <family val="2"/>
            <charset val="129"/>
          </rPr>
          <t>언급되기</t>
        </r>
        <r>
          <rPr>
            <sz val="9"/>
            <color rgb="FF000000"/>
            <rFont val="Tahoma"/>
            <family val="2"/>
          </rPr>
          <t xml:space="preserve"> </t>
        </r>
        <r>
          <rPr>
            <sz val="9"/>
            <color rgb="FF000000"/>
            <rFont val="돋움"/>
            <family val="2"/>
            <charset val="129"/>
          </rPr>
          <t>이전의</t>
        </r>
        <r>
          <rPr>
            <sz val="9"/>
            <color rgb="FF000000"/>
            <rFont val="Tahoma"/>
            <family val="2"/>
          </rPr>
          <t xml:space="preserve"> 'out-field'</t>
        </r>
        <r>
          <rPr>
            <sz val="9"/>
            <color rgb="FF000000"/>
            <rFont val="돋움"/>
            <family val="2"/>
            <charset val="129"/>
          </rPr>
          <t>라고</t>
        </r>
        <r>
          <rPr>
            <sz val="9"/>
            <color rgb="FF000000"/>
            <rFont val="Tahoma"/>
            <family val="2"/>
          </rPr>
          <t xml:space="preserve"> </t>
        </r>
        <r>
          <rPr>
            <sz val="9"/>
            <color rgb="FF000000"/>
            <rFont val="돋움"/>
            <family val="2"/>
            <charset val="129"/>
          </rPr>
          <t>분류해둔</t>
        </r>
        <r>
          <rPr>
            <sz val="9"/>
            <color rgb="FF000000"/>
            <rFont val="Tahoma"/>
            <family val="2"/>
          </rPr>
          <t xml:space="preserve"> </t>
        </r>
        <r>
          <rPr>
            <sz val="9"/>
            <color rgb="FF000000"/>
            <rFont val="돋움"/>
            <family val="2"/>
            <charset val="129"/>
          </rPr>
          <t>것을</t>
        </r>
        <r>
          <rPr>
            <sz val="9"/>
            <color rgb="FF000000"/>
            <rFont val="Tahoma"/>
            <family val="2"/>
          </rPr>
          <t xml:space="preserve"> </t>
        </r>
        <r>
          <rPr>
            <sz val="9"/>
            <color rgb="FF000000"/>
            <rFont val="돋움"/>
            <family val="2"/>
            <charset val="129"/>
          </rPr>
          <t>다시</t>
        </r>
        <r>
          <rPr>
            <sz val="9"/>
            <color rgb="FF000000"/>
            <rFont val="Tahoma"/>
            <family val="2"/>
          </rPr>
          <t xml:space="preserve"> </t>
        </r>
        <r>
          <rPr>
            <sz val="9"/>
            <color rgb="FF000000"/>
            <rFont val="돋움"/>
            <family val="2"/>
            <charset val="129"/>
          </rPr>
          <t>확인할</t>
        </r>
        <r>
          <rPr>
            <sz val="9"/>
            <color rgb="FF000000"/>
            <rFont val="Tahoma"/>
            <family val="2"/>
          </rPr>
          <t xml:space="preserve"> </t>
        </r>
        <r>
          <rPr>
            <sz val="9"/>
            <color rgb="FF000000"/>
            <rFont val="돋움"/>
            <family val="2"/>
            <charset val="129"/>
          </rPr>
          <t>것</t>
        </r>
        <r>
          <rPr>
            <sz val="9"/>
            <color rgb="FF000000"/>
            <rFont val="Tahoma"/>
            <family val="2"/>
          </rPr>
          <t xml:space="preserve">. </t>
        </r>
      </text>
    </comment>
    <comment ref="DQ1"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t>
        </r>
        <r>
          <rPr>
            <sz val="9"/>
            <color rgb="FF000000"/>
            <rFont val="Tahoma"/>
            <family val="2"/>
          </rPr>
          <t xml:space="preserve">
</t>
        </r>
        <r>
          <rPr>
            <sz val="9"/>
            <color rgb="FF000000"/>
            <rFont val="Tahoma"/>
            <family val="2"/>
          </rPr>
          <t>Esophagus</t>
        </r>
      </text>
    </comment>
    <comment ref="DR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Esophagus</t>
        </r>
      </text>
    </comment>
    <comment ref="EW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5</t>
        </r>
        <r>
          <rPr>
            <sz val="9"/>
            <color indexed="81"/>
            <rFont val="돋움"/>
            <family val="3"/>
            <charset val="129"/>
          </rPr>
          <t>건만</t>
        </r>
        <r>
          <rPr>
            <sz val="9"/>
            <color indexed="81"/>
            <rFont val="Tahoma"/>
            <family val="2"/>
          </rPr>
          <t xml:space="preserve"> </t>
        </r>
        <r>
          <rPr>
            <sz val="9"/>
            <color indexed="81"/>
            <rFont val="돋움"/>
            <family val="3"/>
            <charset val="129"/>
          </rPr>
          <t>발생한</t>
        </r>
        <r>
          <rPr>
            <sz val="9"/>
            <color indexed="81"/>
            <rFont val="Tahoma"/>
            <family val="2"/>
          </rPr>
          <t xml:space="preserve"> peritoneal seeding, adrenal gland, kidney</t>
        </r>
        <r>
          <rPr>
            <sz val="9"/>
            <color indexed="81"/>
            <rFont val="돋움"/>
            <family val="3"/>
            <charset val="129"/>
          </rPr>
          <t>를</t>
        </r>
        <r>
          <rPr>
            <sz val="9"/>
            <color indexed="81"/>
            <rFont val="Tahoma"/>
            <family val="2"/>
          </rPr>
          <t xml:space="preserve"> others</t>
        </r>
        <r>
          <rPr>
            <sz val="9"/>
            <color indexed="81"/>
            <rFont val="돋움"/>
            <family val="3"/>
            <charset val="129"/>
          </rPr>
          <t>로</t>
        </r>
        <r>
          <rPr>
            <sz val="9"/>
            <color indexed="81"/>
            <rFont val="Tahoma"/>
            <family val="2"/>
          </rPr>
          <t xml:space="preserve"> </t>
        </r>
        <r>
          <rPr>
            <sz val="9"/>
            <color indexed="81"/>
            <rFont val="돋움"/>
            <family val="3"/>
            <charset val="129"/>
          </rPr>
          <t>따로</t>
        </r>
        <r>
          <rPr>
            <sz val="9"/>
            <color indexed="81"/>
            <rFont val="Tahoma"/>
            <family val="2"/>
          </rPr>
          <t xml:space="preserve"> </t>
        </r>
        <r>
          <rPr>
            <sz val="9"/>
            <color indexed="81"/>
            <rFont val="돋움"/>
            <family val="3"/>
            <charset val="129"/>
          </rPr>
          <t>뺄</t>
        </r>
        <r>
          <rPr>
            <sz val="9"/>
            <color indexed="81"/>
            <rFont val="Tahoma"/>
            <family val="2"/>
          </rPr>
          <t xml:space="preserve"> </t>
        </r>
        <r>
          <rPr>
            <sz val="9"/>
            <color indexed="81"/>
            <rFont val="돋움"/>
            <family val="3"/>
            <charset val="129"/>
          </rPr>
          <t>경우</t>
        </r>
      </text>
    </comment>
    <comment ref="FD1"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t>
        </r>
        <r>
          <rPr>
            <sz val="9"/>
            <color rgb="FF000000"/>
            <rFont val="Tahoma"/>
            <family val="2"/>
          </rPr>
          <t xml:space="preserve">
</t>
        </r>
        <r>
          <rPr>
            <sz val="9"/>
            <color rgb="FF000000"/>
            <rFont val="돋움"/>
            <family val="2"/>
            <charset val="129"/>
          </rPr>
          <t>주민등록</t>
        </r>
        <r>
          <rPr>
            <sz val="9"/>
            <color rgb="FF000000"/>
            <rFont val="Tahoma"/>
            <family val="2"/>
          </rPr>
          <t xml:space="preserve"> </t>
        </r>
        <r>
          <rPr>
            <sz val="9"/>
            <color rgb="FF000000"/>
            <rFont val="돋움"/>
            <family val="2"/>
            <charset val="129"/>
          </rPr>
          <t>생존자료에서</t>
        </r>
        <r>
          <rPr>
            <sz val="9"/>
            <color rgb="FF000000"/>
            <rFont val="Tahoma"/>
            <family val="2"/>
          </rPr>
          <t xml:space="preserve"> </t>
        </r>
        <r>
          <rPr>
            <sz val="9"/>
            <color rgb="FF000000"/>
            <rFont val="돋움"/>
            <family val="2"/>
            <charset val="129"/>
          </rPr>
          <t>확인이</t>
        </r>
        <r>
          <rPr>
            <sz val="9"/>
            <color rgb="FF000000"/>
            <rFont val="Tahoma"/>
            <family val="2"/>
          </rPr>
          <t xml:space="preserve"> </t>
        </r>
        <r>
          <rPr>
            <sz val="9"/>
            <color rgb="FF000000"/>
            <rFont val="돋움"/>
            <family val="2"/>
            <charset val="129"/>
          </rPr>
          <t>가능하였는지</t>
        </r>
        <r>
          <rPr>
            <sz val="9"/>
            <color rgb="FF000000"/>
            <rFont val="Tahoma"/>
            <family val="2"/>
          </rPr>
          <t xml:space="preserve"> </t>
        </r>
        <r>
          <rPr>
            <sz val="9"/>
            <color rgb="FF000000"/>
            <rFont val="돋움"/>
            <family val="2"/>
            <charset val="129"/>
          </rPr>
          <t>여부</t>
        </r>
        <r>
          <rPr>
            <sz val="9"/>
            <color rgb="FF000000"/>
            <rFont val="Tahoma"/>
            <family val="2"/>
          </rPr>
          <t>.</t>
        </r>
      </text>
    </comment>
    <comment ref="FS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very poorly dyscribed… </t>
        </r>
        <r>
          <rPr>
            <sz val="9"/>
            <color indexed="81"/>
            <rFont val="돋움"/>
            <family val="3"/>
            <charset val="129"/>
          </rPr>
          <t>그냥</t>
        </r>
        <r>
          <rPr>
            <sz val="9"/>
            <color indexed="81"/>
            <rFont val="Tahoma"/>
            <family val="2"/>
          </rPr>
          <t xml:space="preserve"> </t>
        </r>
        <r>
          <rPr>
            <sz val="9"/>
            <color indexed="81"/>
            <rFont val="돋움"/>
            <family val="3"/>
            <charset val="129"/>
          </rPr>
          <t>필요한</t>
        </r>
        <r>
          <rPr>
            <sz val="9"/>
            <color indexed="81"/>
            <rFont val="Tahoma"/>
            <family val="2"/>
          </rPr>
          <t xml:space="preserve"> </t>
        </r>
        <r>
          <rPr>
            <sz val="9"/>
            <color indexed="81"/>
            <rFont val="돋움"/>
            <family val="3"/>
            <charset val="129"/>
          </rPr>
          <t>부분만</t>
        </r>
        <r>
          <rPr>
            <sz val="9"/>
            <color indexed="81"/>
            <rFont val="Tahoma"/>
            <family val="2"/>
          </rPr>
          <t xml:space="preserve"> </t>
        </r>
        <r>
          <rPr>
            <sz val="9"/>
            <color indexed="81"/>
            <rFont val="돋움"/>
            <family val="3"/>
            <charset val="129"/>
          </rPr>
          <t>찾아보는게</t>
        </r>
        <r>
          <rPr>
            <sz val="9"/>
            <color indexed="81"/>
            <rFont val="Tahoma"/>
            <family val="2"/>
          </rPr>
          <t xml:space="preserve"> </t>
        </r>
        <r>
          <rPr>
            <sz val="9"/>
            <color indexed="81"/>
            <rFont val="돋움"/>
            <family val="3"/>
            <charset val="129"/>
          </rPr>
          <t>나을</t>
        </r>
        <r>
          <rPr>
            <sz val="9"/>
            <color indexed="81"/>
            <rFont val="Tahoma"/>
            <family val="2"/>
          </rPr>
          <t xml:space="preserve"> </t>
        </r>
        <r>
          <rPr>
            <sz val="9"/>
            <color indexed="81"/>
            <rFont val="돋움"/>
            <family val="3"/>
            <charset val="129"/>
          </rPr>
          <t>정도</t>
        </r>
        <r>
          <rPr>
            <sz val="9"/>
            <color indexed="81"/>
            <rFont val="Tahoma"/>
            <family val="2"/>
          </rPr>
          <t>. RT</t>
        </r>
        <r>
          <rPr>
            <sz val="9"/>
            <color indexed="81"/>
            <rFont val="돋움"/>
            <family val="3"/>
            <charset val="129"/>
          </rPr>
          <t>와</t>
        </r>
        <r>
          <rPr>
            <sz val="9"/>
            <color indexed="81"/>
            <rFont val="Tahoma"/>
            <family val="2"/>
          </rPr>
          <t xml:space="preserve"> </t>
        </r>
        <r>
          <rPr>
            <sz val="9"/>
            <color indexed="81"/>
            <rFont val="돋움"/>
            <family val="3"/>
            <charset val="129"/>
          </rPr>
          <t>수술</t>
        </r>
        <r>
          <rPr>
            <sz val="9"/>
            <color indexed="81"/>
            <rFont val="Tahoma"/>
            <family val="2"/>
          </rPr>
          <t xml:space="preserve">, chemo </t>
        </r>
        <r>
          <rPr>
            <sz val="9"/>
            <color indexed="81"/>
            <rFont val="돋움"/>
            <family val="3"/>
            <charset val="129"/>
          </rPr>
          <t>부작용이</t>
        </r>
        <r>
          <rPr>
            <sz val="9"/>
            <color indexed="81"/>
            <rFont val="Tahoma"/>
            <family val="2"/>
          </rPr>
          <t xml:space="preserve"> </t>
        </r>
        <r>
          <rPr>
            <sz val="9"/>
            <color indexed="81"/>
            <rFont val="돋움"/>
            <family val="3"/>
            <charset val="129"/>
          </rPr>
          <t>이것저것</t>
        </r>
        <r>
          <rPr>
            <sz val="9"/>
            <color indexed="81"/>
            <rFont val="Tahoma"/>
            <family val="2"/>
          </rPr>
          <t xml:space="preserve"> </t>
        </r>
        <r>
          <rPr>
            <sz val="9"/>
            <color indexed="81"/>
            <rFont val="돋움"/>
            <family val="3"/>
            <charset val="129"/>
          </rPr>
          <t>섞여있기도</t>
        </r>
        <r>
          <rPr>
            <sz val="9"/>
            <color indexed="81"/>
            <rFont val="Tahoma"/>
            <family val="2"/>
          </rPr>
          <t xml:space="preserve"> </t>
        </r>
        <r>
          <rPr>
            <sz val="9"/>
            <color indexed="81"/>
            <rFont val="돋움"/>
            <family val="3"/>
            <charset val="129"/>
          </rPr>
          <t>하고</t>
        </r>
        <r>
          <rPr>
            <sz val="9"/>
            <color indexed="81"/>
            <rFont val="Tahoma"/>
            <family val="2"/>
          </rPr>
          <t>.</t>
        </r>
      </text>
    </comment>
    <comment ref="FT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전자와</t>
        </r>
        <r>
          <rPr>
            <sz val="9"/>
            <color indexed="81"/>
            <rFont val="Tahoma"/>
            <family val="2"/>
          </rPr>
          <t xml:space="preserve"> </t>
        </r>
        <r>
          <rPr>
            <sz val="9"/>
            <color indexed="81"/>
            <rFont val="돋움"/>
            <family val="3"/>
            <charset val="129"/>
          </rPr>
          <t>같다</t>
        </r>
        <r>
          <rPr>
            <sz val="9"/>
            <color indexed="81"/>
            <rFont val="Tahoma"/>
            <family val="2"/>
          </rPr>
          <t>.</t>
        </r>
      </text>
    </comment>
    <comment ref="FU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이런</t>
        </r>
        <r>
          <rPr>
            <sz val="9"/>
            <color indexed="81"/>
            <rFont val="Tahoma"/>
            <family val="2"/>
          </rPr>
          <t xml:space="preserve"> </t>
        </r>
        <r>
          <rPr>
            <sz val="9"/>
            <color indexed="81"/>
            <rFont val="돋움"/>
            <family val="3"/>
            <charset val="129"/>
          </rPr>
          <t>류의</t>
        </r>
        <r>
          <rPr>
            <sz val="9"/>
            <color indexed="81"/>
            <rFont val="Tahoma"/>
            <family val="2"/>
          </rPr>
          <t xml:space="preserve"> </t>
        </r>
        <r>
          <rPr>
            <sz val="9"/>
            <color indexed="81"/>
            <rFont val="돋움"/>
            <family val="3"/>
            <charset val="129"/>
          </rPr>
          <t>부작용은</t>
        </r>
        <r>
          <rPr>
            <sz val="9"/>
            <color indexed="81"/>
            <rFont val="Tahoma"/>
            <family val="2"/>
          </rPr>
          <t xml:space="preserve"> esophagectomy</t>
        </r>
        <r>
          <rPr>
            <sz val="9"/>
            <color indexed="81"/>
            <rFont val="돋움"/>
            <family val="3"/>
            <charset val="129"/>
          </rPr>
          <t>를</t>
        </r>
        <r>
          <rPr>
            <sz val="9"/>
            <color indexed="81"/>
            <rFont val="Tahoma"/>
            <family val="2"/>
          </rPr>
          <t xml:space="preserve"> </t>
        </r>
        <r>
          <rPr>
            <sz val="9"/>
            <color indexed="81"/>
            <rFont val="돋움"/>
            <family val="3"/>
            <charset val="129"/>
          </rPr>
          <t>실시한</t>
        </r>
        <r>
          <rPr>
            <sz val="9"/>
            <color indexed="81"/>
            <rFont val="Tahoma"/>
            <family val="2"/>
          </rPr>
          <t xml:space="preserve"> </t>
        </r>
        <r>
          <rPr>
            <sz val="9"/>
            <color indexed="81"/>
            <rFont val="돋움"/>
            <family val="3"/>
            <charset val="129"/>
          </rPr>
          <t>환자들을</t>
        </r>
        <r>
          <rPr>
            <sz val="9"/>
            <color indexed="81"/>
            <rFont val="Tahoma"/>
            <family val="2"/>
          </rPr>
          <t xml:space="preserve"> </t>
        </r>
        <r>
          <rPr>
            <sz val="9"/>
            <color indexed="81"/>
            <rFont val="돋움"/>
            <family val="3"/>
            <charset val="129"/>
          </rPr>
          <t>대상으로</t>
        </r>
        <r>
          <rPr>
            <sz val="9"/>
            <color indexed="81"/>
            <rFont val="Tahoma"/>
            <family val="2"/>
          </rPr>
          <t xml:space="preserve"> </t>
        </r>
        <r>
          <rPr>
            <sz val="9"/>
            <color indexed="81"/>
            <rFont val="돋움"/>
            <family val="3"/>
            <charset val="129"/>
          </rPr>
          <t>확인하는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좋을</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같다</t>
        </r>
        <r>
          <rPr>
            <sz val="9"/>
            <color indexed="81"/>
            <rFont val="Tahoma"/>
            <family val="2"/>
          </rPr>
          <t>.</t>
        </r>
      </text>
    </comment>
    <comment ref="GA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수술</t>
        </r>
        <r>
          <rPr>
            <sz val="9"/>
            <color indexed="81"/>
            <rFont val="Tahoma"/>
            <family val="2"/>
          </rPr>
          <t xml:space="preserve"> </t>
        </r>
        <r>
          <rPr>
            <sz val="9"/>
            <color indexed="81"/>
            <rFont val="돋움"/>
            <family val="3"/>
            <charset val="129"/>
          </rPr>
          <t>검체에</t>
        </r>
        <r>
          <rPr>
            <sz val="9"/>
            <color indexed="81"/>
            <rFont val="Tahoma"/>
            <family val="2"/>
          </rPr>
          <t xml:space="preserve"> tumor cell</t>
        </r>
        <r>
          <rPr>
            <sz val="9"/>
            <color indexed="81"/>
            <rFont val="돋움"/>
            <family val="3"/>
            <charset val="129"/>
          </rPr>
          <t>이</t>
        </r>
        <r>
          <rPr>
            <sz val="9"/>
            <color indexed="81"/>
            <rFont val="Tahoma"/>
            <family val="2"/>
          </rPr>
          <t xml:space="preserve"> </t>
        </r>
        <r>
          <rPr>
            <sz val="9"/>
            <color indexed="81"/>
            <rFont val="돋움"/>
            <family val="3"/>
            <charset val="129"/>
          </rPr>
          <t>없는</t>
        </r>
        <r>
          <rPr>
            <sz val="9"/>
            <color indexed="81"/>
            <rFont val="Tahoma"/>
            <family val="2"/>
          </rPr>
          <t xml:space="preserve"> </t>
        </r>
        <r>
          <rPr>
            <sz val="9"/>
            <color indexed="81"/>
            <rFont val="돋움"/>
            <family val="3"/>
            <charset val="129"/>
          </rPr>
          <t>코어가</t>
        </r>
        <r>
          <rPr>
            <sz val="9"/>
            <color indexed="81"/>
            <rFont val="Tahoma"/>
            <family val="2"/>
          </rPr>
          <t xml:space="preserve"> </t>
        </r>
        <r>
          <rPr>
            <sz val="9"/>
            <color indexed="81"/>
            <rFont val="돋움"/>
            <family val="3"/>
            <charset val="129"/>
          </rPr>
          <t>있어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경우는</t>
        </r>
        <r>
          <rPr>
            <sz val="9"/>
            <color indexed="81"/>
            <rFont val="Tahoma"/>
            <family val="2"/>
          </rPr>
          <t xml:space="preserve"> CPS</t>
        </r>
        <r>
          <rPr>
            <sz val="9"/>
            <color indexed="81"/>
            <rFont val="돋움"/>
            <family val="3"/>
            <charset val="129"/>
          </rPr>
          <t>가</t>
        </r>
        <r>
          <rPr>
            <sz val="9"/>
            <color indexed="81"/>
            <rFont val="Tahoma"/>
            <family val="2"/>
          </rPr>
          <t xml:space="preserve"> </t>
        </r>
        <r>
          <rPr>
            <sz val="9"/>
            <color indexed="81"/>
            <rFont val="돋움"/>
            <family val="3"/>
            <charset val="129"/>
          </rPr>
          <t>아니라</t>
        </r>
        <r>
          <rPr>
            <sz val="9"/>
            <color indexed="81"/>
            <rFont val="Tahoma"/>
            <family val="2"/>
          </rPr>
          <t xml:space="preserve"> IC</t>
        </r>
        <r>
          <rPr>
            <sz val="9"/>
            <color indexed="81"/>
            <rFont val="돋움"/>
            <family val="3"/>
            <charset val="129"/>
          </rPr>
          <t>를</t>
        </r>
        <r>
          <rPr>
            <sz val="9"/>
            <color indexed="81"/>
            <rFont val="Tahoma"/>
            <family val="2"/>
          </rPr>
          <t xml:space="preserve"> </t>
        </r>
        <r>
          <rPr>
            <sz val="9"/>
            <color indexed="81"/>
            <rFont val="돋움"/>
            <family val="3"/>
            <charset val="129"/>
          </rPr>
          <t>표기하였다고</t>
        </r>
        <r>
          <rPr>
            <sz val="9"/>
            <color indexed="81"/>
            <rFont val="Tahoma"/>
            <family val="2"/>
          </rPr>
          <t xml:space="preserve"> </t>
        </r>
        <r>
          <rPr>
            <sz val="9"/>
            <color indexed="81"/>
            <rFont val="돋움"/>
            <family val="3"/>
            <charset val="129"/>
          </rPr>
          <t>함</t>
        </r>
        <r>
          <rPr>
            <sz val="9"/>
            <color indexed="81"/>
            <rFont val="Tahoma"/>
            <family val="2"/>
          </rPr>
          <t>.</t>
        </r>
      </text>
    </comment>
    <comment ref="AO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맞나</t>
        </r>
        <r>
          <rPr>
            <sz val="9"/>
            <color indexed="81"/>
            <rFont val="Tahoma"/>
            <family val="2"/>
          </rPr>
          <t>?</t>
        </r>
      </text>
    </comment>
    <comment ref="CC2" authorId="1" shapeId="0">
      <text>
        <r>
          <rPr>
            <b/>
            <sz val="9"/>
            <color indexed="81"/>
            <rFont val="Tahoma"/>
            <family val="2"/>
          </rPr>
          <t>SNUH:</t>
        </r>
        <r>
          <rPr>
            <sz val="9"/>
            <color indexed="81"/>
            <rFont val="Tahoma"/>
            <family val="2"/>
          </rPr>
          <t xml:space="preserve">
pre-CCRT PET </t>
        </r>
        <r>
          <rPr>
            <sz val="9"/>
            <color indexed="81"/>
            <rFont val="돋움"/>
            <family val="3"/>
            <charset val="129"/>
          </rPr>
          <t>없음</t>
        </r>
      </text>
    </comment>
    <comment ref="AF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SCL</t>
        </r>
      </text>
    </comment>
    <comment ref="AO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치료는</t>
        </r>
        <r>
          <rPr>
            <sz val="9"/>
            <color indexed="81"/>
            <rFont val="Tahoma"/>
            <family val="2"/>
          </rPr>
          <t xml:space="preserve"> </t>
        </r>
        <r>
          <rPr>
            <sz val="9"/>
            <color indexed="81"/>
            <rFont val="돋움"/>
            <family val="3"/>
            <charset val="129"/>
          </rPr>
          <t>하였으나</t>
        </r>
        <r>
          <rPr>
            <sz val="9"/>
            <color indexed="81"/>
            <rFont val="Tahoma"/>
            <family val="2"/>
          </rPr>
          <t>, Lt SCL</t>
        </r>
        <r>
          <rPr>
            <sz val="9"/>
            <color indexed="81"/>
            <rFont val="돋움"/>
            <family val="3"/>
            <charset val="129"/>
          </rPr>
          <t>은</t>
        </r>
        <r>
          <rPr>
            <sz val="9"/>
            <color indexed="81"/>
            <rFont val="Tahoma"/>
            <family val="2"/>
          </rPr>
          <t xml:space="preserve"> </t>
        </r>
        <r>
          <rPr>
            <sz val="9"/>
            <color indexed="81"/>
            <rFont val="돋움"/>
            <family val="3"/>
            <charset val="129"/>
          </rPr>
          <t>기존에</t>
        </r>
        <r>
          <rPr>
            <sz val="9"/>
            <color indexed="81"/>
            <rFont val="Tahoma"/>
            <family val="2"/>
          </rPr>
          <t xml:space="preserve"> metastasis</t>
        </r>
        <r>
          <rPr>
            <sz val="9"/>
            <color indexed="81"/>
            <rFont val="돋움"/>
            <family val="3"/>
            <charset val="129"/>
          </rPr>
          <t>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것으로</t>
        </r>
        <r>
          <rPr>
            <sz val="9"/>
            <color indexed="81"/>
            <rFont val="Tahoma"/>
            <family val="2"/>
          </rPr>
          <t xml:space="preserve"> </t>
        </r>
        <r>
          <rPr>
            <sz val="9"/>
            <color indexed="81"/>
            <rFont val="돋움"/>
            <family val="3"/>
            <charset val="129"/>
          </rPr>
          <t>파악됨</t>
        </r>
        <r>
          <rPr>
            <sz val="9"/>
            <color indexed="81"/>
            <rFont val="Tahoma"/>
            <family val="2"/>
          </rPr>
          <t>.</t>
        </r>
      </text>
    </comment>
    <comment ref="CJ3" authorId="0" shapeId="0">
      <text>
        <r>
          <rPr>
            <sz val="11"/>
            <color theme="1"/>
            <rFont val="맑은 고딕"/>
            <family val="2"/>
            <charset val="129"/>
            <scheme val="minor"/>
          </rPr>
          <t>Windows 사용자:
Mediastinum은 당연히 dissection 했을거고, stomach은 dissection은 안했다고 했는데 일부 LN이 harvest 되긴 함. Neck dissection을 시행하였다. 그럼 2-field인가?</t>
        </r>
      </text>
    </comment>
    <comment ref="FU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post-CCRT / </t>
        </r>
        <r>
          <rPr>
            <sz val="9"/>
            <color indexed="81"/>
            <rFont val="돋움"/>
            <family val="3"/>
            <charset val="129"/>
          </rPr>
          <t>수술</t>
        </r>
        <r>
          <rPr>
            <sz val="9"/>
            <color indexed="81"/>
            <rFont val="Tahoma"/>
            <family val="2"/>
          </rPr>
          <t xml:space="preserve"> </t>
        </r>
        <r>
          <rPr>
            <sz val="9"/>
            <color indexed="81"/>
            <rFont val="돋움"/>
            <family val="3"/>
            <charset val="129"/>
          </rPr>
          <t>전에</t>
        </r>
        <r>
          <rPr>
            <sz val="9"/>
            <color indexed="81"/>
            <rFont val="Tahoma"/>
            <family val="2"/>
          </rPr>
          <t xml:space="preserve"> stricture </t>
        </r>
        <r>
          <rPr>
            <sz val="9"/>
            <color indexed="81"/>
            <rFont val="돋움"/>
            <family val="3"/>
            <charset val="129"/>
          </rPr>
          <t>있다는</t>
        </r>
        <r>
          <rPr>
            <sz val="9"/>
            <color indexed="81"/>
            <rFont val="Tahoma"/>
            <family val="2"/>
          </rPr>
          <t xml:space="preserve"> </t>
        </r>
        <r>
          <rPr>
            <sz val="9"/>
            <color indexed="81"/>
            <rFont val="돋움"/>
            <family val="3"/>
            <charset val="129"/>
          </rPr>
          <t>내시경</t>
        </r>
        <r>
          <rPr>
            <sz val="9"/>
            <color indexed="81"/>
            <rFont val="Tahoma"/>
            <family val="2"/>
          </rPr>
          <t xml:space="preserve"> </t>
        </r>
        <r>
          <rPr>
            <sz val="9"/>
            <color indexed="81"/>
            <rFont val="돋움"/>
            <family val="3"/>
            <charset val="129"/>
          </rPr>
          <t>소견은</t>
        </r>
        <r>
          <rPr>
            <sz val="9"/>
            <color indexed="81"/>
            <rFont val="Tahoma"/>
            <family val="2"/>
          </rPr>
          <t xml:space="preserve"> </t>
        </r>
        <r>
          <rPr>
            <sz val="9"/>
            <color indexed="81"/>
            <rFont val="돋움"/>
            <family val="3"/>
            <charset val="129"/>
          </rPr>
          <t>있엇다</t>
        </r>
        <r>
          <rPr>
            <sz val="9"/>
            <color indexed="81"/>
            <rFont val="Tahoma"/>
            <family val="2"/>
          </rPr>
          <t>.</t>
        </r>
      </text>
    </comment>
    <comment ref="AO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lower SCL</t>
        </r>
        <r>
          <rPr>
            <sz val="9"/>
            <color indexed="81"/>
            <rFont val="돋움"/>
            <family val="3"/>
            <charset val="129"/>
          </rPr>
          <t>을</t>
        </r>
        <r>
          <rPr>
            <sz val="9"/>
            <color indexed="81"/>
            <rFont val="Tahoma"/>
            <family val="2"/>
          </rPr>
          <t xml:space="preserve"> </t>
        </r>
        <r>
          <rPr>
            <sz val="9"/>
            <color indexed="81"/>
            <rFont val="돋움"/>
            <family val="3"/>
            <charset val="129"/>
          </rPr>
          <t>약간</t>
        </r>
        <r>
          <rPr>
            <sz val="9"/>
            <color indexed="81"/>
            <rFont val="Tahoma"/>
            <family val="2"/>
          </rPr>
          <t xml:space="preserve"> </t>
        </r>
        <r>
          <rPr>
            <sz val="9"/>
            <color indexed="81"/>
            <rFont val="돋움"/>
            <family val="3"/>
            <charset val="129"/>
          </rPr>
          <t>포함했더라</t>
        </r>
      </text>
    </comment>
    <comment ref="BU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맞나</t>
        </r>
        <r>
          <rPr>
            <sz val="9"/>
            <color indexed="81"/>
            <rFont val="Tahoma"/>
            <family val="2"/>
          </rPr>
          <t>?</t>
        </r>
      </text>
    </comment>
    <comment ref="CJ4" authorId="0" shapeId="0">
      <text>
        <r>
          <rPr>
            <sz val="11"/>
            <color theme="1"/>
            <rFont val="맑은 고딕"/>
            <family val="2"/>
            <charset val="129"/>
            <scheme val="minor"/>
          </rPr>
          <t>Windows 사용자:
Mediastinum은 당연히 dissection 했을거고, stomach은 dissection은 안했다고 했는데 일부 LN이 harvest 되긴 함. Neck dissection을 시행하였다. 그럼 2-field인가?</t>
        </r>
      </text>
    </comment>
    <comment ref="DJ4"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t>
        </r>
        <r>
          <rPr>
            <sz val="9"/>
            <color rgb="FF000000"/>
            <rFont val="Tahoma"/>
            <family val="2"/>
          </rPr>
          <t xml:space="preserve">
</t>
        </r>
        <r>
          <rPr>
            <sz val="9"/>
            <color rgb="FF000000"/>
            <rFont val="돋움"/>
            <family val="2"/>
            <charset val="129"/>
          </rPr>
          <t>타과</t>
        </r>
        <r>
          <rPr>
            <sz val="9"/>
            <color rgb="FF000000"/>
            <rFont val="Tahoma"/>
            <family val="2"/>
          </rPr>
          <t xml:space="preserve"> </t>
        </r>
        <r>
          <rPr>
            <sz val="9"/>
            <color rgb="FF000000"/>
            <rFont val="돋움"/>
            <family val="2"/>
            <charset val="129"/>
          </rPr>
          <t>외래</t>
        </r>
        <r>
          <rPr>
            <sz val="9"/>
            <color rgb="FF000000"/>
            <rFont val="Tahoma"/>
            <family val="2"/>
          </rPr>
          <t xml:space="preserve"> follow-up</t>
        </r>
        <r>
          <rPr>
            <sz val="9"/>
            <color rgb="FF000000"/>
            <rFont val="돋움"/>
            <family val="2"/>
            <charset val="129"/>
          </rPr>
          <t>은</t>
        </r>
        <r>
          <rPr>
            <sz val="9"/>
            <color rgb="FF000000"/>
            <rFont val="Tahoma"/>
            <family val="2"/>
          </rPr>
          <t xml:space="preserve"> </t>
        </r>
        <r>
          <rPr>
            <sz val="9"/>
            <color rgb="FF000000"/>
            <rFont val="돋움"/>
            <family val="2"/>
            <charset val="129"/>
          </rPr>
          <t>최근까지도</t>
        </r>
        <r>
          <rPr>
            <sz val="9"/>
            <color rgb="FF000000"/>
            <rFont val="Tahoma"/>
            <family val="2"/>
          </rPr>
          <t xml:space="preserve"> </t>
        </r>
        <r>
          <rPr>
            <sz val="9"/>
            <color rgb="FF000000"/>
            <rFont val="돋움"/>
            <family val="2"/>
            <charset val="129"/>
          </rPr>
          <t>계속되고</t>
        </r>
        <r>
          <rPr>
            <sz val="9"/>
            <color rgb="FF000000"/>
            <rFont val="Tahoma"/>
            <family val="2"/>
          </rPr>
          <t xml:space="preserve"> </t>
        </r>
        <r>
          <rPr>
            <sz val="9"/>
            <color rgb="FF000000"/>
            <rFont val="돋움"/>
            <family val="2"/>
            <charset val="129"/>
          </rPr>
          <t>있다</t>
        </r>
        <r>
          <rPr>
            <sz val="9"/>
            <color rgb="FF000000"/>
            <rFont val="Tahoma"/>
            <family val="2"/>
          </rPr>
          <t>.</t>
        </r>
      </text>
    </comment>
    <comment ref="AF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GTV</t>
        </r>
        <r>
          <rPr>
            <sz val="9"/>
            <color indexed="81"/>
            <rFont val="돋움"/>
            <family val="3"/>
            <charset val="129"/>
          </rPr>
          <t>가</t>
        </r>
        <r>
          <rPr>
            <sz val="9"/>
            <color indexed="81"/>
            <rFont val="Tahoma"/>
            <family val="2"/>
          </rPr>
          <t xml:space="preserve"> renal artery </t>
        </r>
        <r>
          <rPr>
            <sz val="9"/>
            <color indexed="81"/>
            <rFont val="돋움"/>
            <family val="3"/>
            <charset val="129"/>
          </rPr>
          <t>인근의</t>
        </r>
        <r>
          <rPr>
            <sz val="9"/>
            <color indexed="81"/>
            <rFont val="Tahoma"/>
            <family val="2"/>
          </rPr>
          <t xml:space="preserve"> PAN</t>
        </r>
        <r>
          <rPr>
            <sz val="9"/>
            <color indexed="81"/>
            <rFont val="돋움"/>
            <family val="3"/>
            <charset val="129"/>
          </rPr>
          <t>까지도</t>
        </r>
        <r>
          <rPr>
            <sz val="9"/>
            <color indexed="81"/>
            <rFont val="Tahoma"/>
            <family val="2"/>
          </rPr>
          <t xml:space="preserve"> </t>
        </r>
        <r>
          <rPr>
            <sz val="9"/>
            <color indexed="81"/>
            <rFont val="돋움"/>
            <family val="3"/>
            <charset val="129"/>
          </rPr>
          <t>잡혀있더라고</t>
        </r>
        <r>
          <rPr>
            <sz val="9"/>
            <color indexed="81"/>
            <rFont val="Tahoma"/>
            <family val="2"/>
          </rPr>
          <t>.</t>
        </r>
      </text>
    </comment>
    <comment ref="AN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subcarina</t>
        </r>
        <r>
          <rPr>
            <sz val="9"/>
            <color indexed="81"/>
            <rFont val="돋움"/>
            <family val="3"/>
            <charset val="129"/>
          </rPr>
          <t>까지</t>
        </r>
        <r>
          <rPr>
            <sz val="9"/>
            <color indexed="81"/>
            <rFont val="Tahoma"/>
            <family val="2"/>
          </rPr>
          <t xml:space="preserve"> </t>
        </r>
        <r>
          <rPr>
            <sz val="9"/>
            <color indexed="81"/>
            <rFont val="돋움"/>
            <family val="3"/>
            <charset val="129"/>
          </rPr>
          <t>추가적으로</t>
        </r>
        <r>
          <rPr>
            <sz val="9"/>
            <color indexed="81"/>
            <rFont val="Tahoma"/>
            <family val="2"/>
          </rPr>
          <t xml:space="preserve"> 1cm </t>
        </r>
        <r>
          <rPr>
            <sz val="9"/>
            <color indexed="81"/>
            <rFont val="돋움"/>
            <family val="3"/>
            <charset val="129"/>
          </rPr>
          <t>가량</t>
        </r>
        <r>
          <rPr>
            <sz val="9"/>
            <color indexed="81"/>
            <rFont val="Tahoma"/>
            <family val="2"/>
          </rPr>
          <t xml:space="preserve"> CTV</t>
        </r>
        <r>
          <rPr>
            <sz val="9"/>
            <color indexed="81"/>
            <rFont val="돋움"/>
            <family val="3"/>
            <charset val="129"/>
          </rPr>
          <t>를</t>
        </r>
        <r>
          <rPr>
            <sz val="9"/>
            <color indexed="81"/>
            <rFont val="Tahoma"/>
            <family val="2"/>
          </rPr>
          <t xml:space="preserve"> </t>
        </r>
        <r>
          <rPr>
            <sz val="9"/>
            <color indexed="81"/>
            <rFont val="돋움"/>
            <family val="3"/>
            <charset val="129"/>
          </rPr>
          <t>연장시킨</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사실이다</t>
        </r>
        <r>
          <rPr>
            <sz val="9"/>
            <color indexed="81"/>
            <rFont val="Tahoma"/>
            <family val="2"/>
          </rPr>
          <t>.</t>
        </r>
      </text>
    </comment>
    <comment ref="AP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metastasis </t>
        </r>
        <r>
          <rPr>
            <sz val="9"/>
            <color indexed="81"/>
            <rFont val="돋움"/>
            <family val="3"/>
            <charset val="129"/>
          </rPr>
          <t>있는</t>
        </r>
        <r>
          <rPr>
            <sz val="9"/>
            <color indexed="81"/>
            <rFont val="Tahoma"/>
            <family val="2"/>
          </rPr>
          <t xml:space="preserve"> </t>
        </r>
        <r>
          <rPr>
            <sz val="9"/>
            <color indexed="81"/>
            <rFont val="돋움"/>
            <family val="3"/>
            <charset val="129"/>
          </rPr>
          <t>곳을</t>
        </r>
        <r>
          <rPr>
            <sz val="9"/>
            <color indexed="81"/>
            <rFont val="Tahoma"/>
            <family val="2"/>
          </rPr>
          <t xml:space="preserve"> </t>
        </r>
        <r>
          <rPr>
            <sz val="9"/>
            <color indexed="81"/>
            <rFont val="돋움"/>
            <family val="3"/>
            <charset val="129"/>
          </rPr>
          <t>치료하는</t>
        </r>
        <r>
          <rPr>
            <sz val="9"/>
            <color indexed="81"/>
            <rFont val="Tahoma"/>
            <family val="2"/>
          </rPr>
          <t xml:space="preserve"> </t>
        </r>
        <r>
          <rPr>
            <sz val="9"/>
            <color indexed="81"/>
            <rFont val="돋움"/>
            <family val="3"/>
            <charset val="129"/>
          </rPr>
          <t>것이니까</t>
        </r>
        <r>
          <rPr>
            <sz val="9"/>
            <color indexed="81"/>
            <rFont val="Tahoma"/>
            <family val="2"/>
          </rPr>
          <t>.</t>
        </r>
      </text>
    </comment>
    <comment ref="BD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r>
          <rPr>
            <sz val="9"/>
            <color indexed="81"/>
            <rFont val="돋움"/>
            <family val="3"/>
            <charset val="129"/>
          </rPr>
          <t>까지</t>
        </r>
      </text>
    </comment>
    <comment ref="CC5" authorId="1" shapeId="0">
      <text>
        <r>
          <rPr>
            <b/>
            <sz val="9"/>
            <color indexed="81"/>
            <rFont val="Tahoma"/>
            <family val="2"/>
          </rPr>
          <t>SNUH:</t>
        </r>
        <r>
          <rPr>
            <sz val="9"/>
            <color indexed="81"/>
            <rFont val="Tahoma"/>
            <family val="2"/>
          </rPr>
          <t xml:space="preserve">
o/s PET, </t>
        </r>
        <r>
          <rPr>
            <sz val="9"/>
            <color indexed="81"/>
            <rFont val="돋움"/>
            <family val="3"/>
            <charset val="129"/>
          </rPr>
          <t>타원</t>
        </r>
        <r>
          <rPr>
            <sz val="9"/>
            <color indexed="81"/>
            <rFont val="Tahoma"/>
            <family val="2"/>
          </rPr>
          <t xml:space="preserve"> </t>
        </r>
        <r>
          <rPr>
            <sz val="9"/>
            <color indexed="81"/>
            <rFont val="돋움"/>
            <family val="3"/>
            <charset val="129"/>
          </rPr>
          <t>판독</t>
        </r>
        <r>
          <rPr>
            <sz val="9"/>
            <color indexed="81"/>
            <rFont val="Tahoma"/>
            <family val="2"/>
          </rPr>
          <t xml:space="preserve"> </t>
        </r>
        <r>
          <rPr>
            <sz val="9"/>
            <color indexed="81"/>
            <rFont val="돋움"/>
            <family val="3"/>
            <charset val="129"/>
          </rPr>
          <t>없음</t>
        </r>
      </text>
    </comment>
    <comment ref="AI6" authorId="2" shapeId="0">
      <text>
        <r>
          <rPr>
            <sz val="9"/>
            <color indexed="81"/>
            <rFont val="Tahoma"/>
            <family val="2"/>
          </rPr>
          <t>2011/6/22-7/29
2011/10/1-10/20</t>
        </r>
      </text>
    </comment>
    <comment ref="AN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r>
          <rPr>
            <sz val="9"/>
            <color indexed="81"/>
            <rFont val="돋움"/>
            <family val="3"/>
            <charset val="129"/>
          </rPr>
          <t>쪽</t>
        </r>
      </text>
    </comment>
    <comment ref="BJ6" authorId="1" shapeId="0">
      <text>
        <r>
          <rPr>
            <b/>
            <sz val="9"/>
            <color indexed="81"/>
            <rFont val="Tahoma"/>
            <family val="2"/>
          </rPr>
          <t>SNUH:</t>
        </r>
        <r>
          <rPr>
            <sz val="9"/>
            <color indexed="81"/>
            <rFont val="Tahoma"/>
            <family val="2"/>
          </rPr>
          <t xml:space="preserve">
preop 1, postop 1</t>
        </r>
      </text>
    </comment>
    <comment ref="DH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16.2 Gy/9 fx to tumor bed, RT alone (2011/10/10 - 2011/10/20)</t>
        </r>
      </text>
    </comment>
    <comment ref="DI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post op FP #4 ('11.10.26~'11.12.17 )</t>
        </r>
      </text>
    </comment>
    <comment ref="DM6" authorId="1" shapeId="0">
      <text>
        <r>
          <rPr>
            <sz val="9"/>
            <color indexed="81"/>
            <rFont val="Tahoma"/>
            <family val="2"/>
          </rPr>
          <t>Esophageal cancer, recured with tracheal invastion CCRT w wCisplatin #2 2. Esophageal ca (SqCC), pT3N1 (radial RM+) -&gt; s/p extended Ivor-Lewis op. (09.4.9)</t>
        </r>
      </text>
    </comment>
    <comment ref="DQ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Local recurrence in the op site and subcarinal area (2012/5/14)
-&gt; tracheal invasion</t>
        </r>
      </text>
    </comment>
    <comment ref="DU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subcarinal mass</t>
        </r>
      </text>
    </comment>
    <comment ref="FW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치료</t>
        </r>
        <r>
          <rPr>
            <sz val="9"/>
            <color indexed="81"/>
            <rFont val="Tahoma"/>
            <family val="2"/>
          </rPr>
          <t xml:space="preserve"> </t>
        </r>
        <r>
          <rPr>
            <sz val="9"/>
            <color indexed="81"/>
            <rFont val="돋움"/>
            <family val="3"/>
            <charset val="129"/>
          </rPr>
          <t>때문이라기</t>
        </r>
        <r>
          <rPr>
            <sz val="9"/>
            <color indexed="81"/>
            <rFont val="Tahoma"/>
            <family val="2"/>
          </rPr>
          <t xml:space="preserve"> </t>
        </r>
        <r>
          <rPr>
            <sz val="9"/>
            <color indexed="81"/>
            <rFont val="돋움"/>
            <family val="3"/>
            <charset val="129"/>
          </rPr>
          <t>보다는</t>
        </r>
        <r>
          <rPr>
            <sz val="9"/>
            <color indexed="81"/>
            <rFont val="Tahoma"/>
            <family val="2"/>
          </rPr>
          <t xml:space="preserve"> mass</t>
        </r>
        <r>
          <rPr>
            <sz val="9"/>
            <color indexed="81"/>
            <rFont val="돋움"/>
            <family val="3"/>
            <charset val="129"/>
          </rPr>
          <t>의</t>
        </r>
        <r>
          <rPr>
            <sz val="9"/>
            <color indexed="81"/>
            <rFont val="Tahoma"/>
            <family val="2"/>
          </rPr>
          <t xml:space="preserve"> tracheal invasion </t>
        </r>
        <r>
          <rPr>
            <sz val="9"/>
            <color indexed="81"/>
            <rFont val="돋움"/>
            <family val="3"/>
            <charset val="129"/>
          </rPr>
          <t>때문일</t>
        </r>
        <r>
          <rPr>
            <sz val="9"/>
            <color indexed="81"/>
            <rFont val="Tahoma"/>
            <family val="2"/>
          </rPr>
          <t xml:space="preserve"> </t>
        </r>
        <r>
          <rPr>
            <sz val="9"/>
            <color indexed="81"/>
            <rFont val="돋움"/>
            <family val="3"/>
            <charset val="129"/>
          </rPr>
          <t>가능성이</t>
        </r>
        <r>
          <rPr>
            <sz val="9"/>
            <color indexed="81"/>
            <rFont val="Tahoma"/>
            <family val="2"/>
          </rPr>
          <t xml:space="preserve"> </t>
        </r>
        <r>
          <rPr>
            <sz val="9"/>
            <color indexed="81"/>
            <rFont val="돋움"/>
            <family val="3"/>
            <charset val="129"/>
          </rPr>
          <t>높긴</t>
        </r>
        <r>
          <rPr>
            <sz val="9"/>
            <color indexed="81"/>
            <rFont val="Tahoma"/>
            <family val="2"/>
          </rPr>
          <t xml:space="preserve"> </t>
        </r>
        <r>
          <rPr>
            <sz val="9"/>
            <color indexed="81"/>
            <rFont val="돋움"/>
            <family val="3"/>
            <charset val="129"/>
          </rPr>
          <t>하다</t>
        </r>
        <r>
          <rPr>
            <sz val="9"/>
            <color indexed="81"/>
            <rFont val="Tahoma"/>
            <family val="2"/>
          </rPr>
          <t>.</t>
        </r>
      </text>
    </comment>
    <comment ref="AN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text>
    </comment>
    <comment ref="BC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중간에</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부분</t>
        </r>
        <r>
          <rPr>
            <sz val="9"/>
            <color indexed="81"/>
            <rFont val="Tahoma"/>
            <family val="2"/>
          </rPr>
          <t xml:space="preserve"> </t>
        </r>
        <r>
          <rPr>
            <sz val="9"/>
            <color indexed="81"/>
            <rFont val="돋움"/>
            <family val="3"/>
            <charset val="129"/>
          </rPr>
          <t>있다</t>
        </r>
      </text>
    </comment>
    <comment ref="CD7" authorId="1" shapeId="0">
      <text>
        <r>
          <rPr>
            <b/>
            <sz val="9"/>
            <color indexed="81"/>
            <rFont val="Tahoma"/>
            <family val="2"/>
          </rPr>
          <t>SNUH:</t>
        </r>
        <r>
          <rPr>
            <sz val="9"/>
            <color indexed="81"/>
            <rFont val="Tahoma"/>
            <family val="2"/>
          </rPr>
          <t xml:space="preserve">
"Distal esophagus</t>
        </r>
        <r>
          <rPr>
            <sz val="9"/>
            <color indexed="81"/>
            <rFont val="돋움"/>
            <family val="3"/>
            <charset val="129"/>
          </rPr>
          <t>의</t>
        </r>
        <r>
          <rPr>
            <sz val="9"/>
            <color indexed="81"/>
            <rFont val="Tahoma"/>
            <family val="2"/>
          </rPr>
          <t xml:space="preserve"> primary cancer</t>
        </r>
        <r>
          <rPr>
            <sz val="9"/>
            <color indexed="81"/>
            <rFont val="돋움"/>
            <family val="3"/>
            <charset val="129"/>
          </rPr>
          <t>는</t>
        </r>
        <r>
          <rPr>
            <sz val="9"/>
            <color indexed="81"/>
            <rFont val="Tahoma"/>
            <family val="2"/>
          </rPr>
          <t xml:space="preserve"> </t>
        </r>
        <r>
          <rPr>
            <sz val="9"/>
            <color indexed="81"/>
            <rFont val="돋움"/>
            <family val="3"/>
            <charset val="129"/>
          </rPr>
          <t>소실되었음</t>
        </r>
        <r>
          <rPr>
            <sz val="9"/>
            <color indexed="81"/>
            <rFont val="Tahoma"/>
            <family val="2"/>
          </rPr>
          <t>."</t>
        </r>
      </text>
    </comment>
    <comment ref="DM7" authorId="1" shapeId="0">
      <text>
        <r>
          <rPr>
            <sz val="9"/>
            <color indexed="81"/>
            <rFont val="Tahoma"/>
            <family val="2"/>
          </rPr>
          <t>pneumonia, urethrial stricture s/p suprapubic cystostomy.
2012/11/22 last FU</t>
        </r>
      </text>
    </comment>
    <comment ref="CC8" authorId="1" shapeId="0">
      <text>
        <r>
          <rPr>
            <b/>
            <sz val="9"/>
            <color indexed="81"/>
            <rFont val="Tahoma"/>
            <family val="2"/>
          </rPr>
          <t>SNUH:</t>
        </r>
        <r>
          <rPr>
            <sz val="9"/>
            <color indexed="81"/>
            <rFont val="Tahoma"/>
            <family val="2"/>
          </rPr>
          <t xml:space="preserve">
o/s PET, </t>
        </r>
        <r>
          <rPr>
            <sz val="9"/>
            <color indexed="81"/>
            <rFont val="돋움"/>
            <family val="3"/>
            <charset val="129"/>
          </rPr>
          <t>외부</t>
        </r>
        <r>
          <rPr>
            <sz val="9"/>
            <color indexed="81"/>
            <rFont val="Tahoma"/>
            <family val="2"/>
          </rPr>
          <t xml:space="preserve"> </t>
        </r>
        <r>
          <rPr>
            <sz val="9"/>
            <color indexed="81"/>
            <rFont val="돋움"/>
            <family val="3"/>
            <charset val="129"/>
          </rPr>
          <t>판독</t>
        </r>
        <r>
          <rPr>
            <sz val="9"/>
            <color indexed="81"/>
            <rFont val="Tahoma"/>
            <family val="2"/>
          </rPr>
          <t xml:space="preserve"> </t>
        </r>
        <r>
          <rPr>
            <sz val="9"/>
            <color indexed="81"/>
            <rFont val="돋움"/>
            <family val="3"/>
            <charset val="129"/>
          </rPr>
          <t>없음</t>
        </r>
      </text>
    </comment>
    <comment ref="FU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balloon dilatation (2014/8/21)</t>
        </r>
      </text>
    </comment>
    <comment ref="AF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보기에는</t>
        </r>
        <r>
          <rPr>
            <sz val="9"/>
            <color indexed="81"/>
            <rFont val="Tahoma"/>
            <family val="2"/>
          </rPr>
          <t xml:space="preserve"> SCL</t>
        </r>
        <r>
          <rPr>
            <sz val="9"/>
            <color indexed="81"/>
            <rFont val="돋움"/>
            <family val="3"/>
            <charset val="129"/>
          </rPr>
          <t>보다는</t>
        </r>
        <r>
          <rPr>
            <sz val="9"/>
            <color indexed="81"/>
            <rFont val="Tahoma"/>
            <family val="2"/>
          </rPr>
          <t xml:space="preserve"> high mediastinal para-esophageal LN</t>
        </r>
        <r>
          <rPr>
            <sz val="9"/>
            <color indexed="81"/>
            <rFont val="돋움"/>
            <family val="3"/>
            <charset val="129"/>
          </rPr>
          <t>으로</t>
        </r>
        <r>
          <rPr>
            <sz val="9"/>
            <color indexed="81"/>
            <rFont val="Tahoma"/>
            <family val="2"/>
          </rPr>
          <t xml:space="preserve"> </t>
        </r>
        <r>
          <rPr>
            <sz val="9"/>
            <color indexed="81"/>
            <rFont val="돋움"/>
            <family val="3"/>
            <charset val="129"/>
          </rPr>
          <t>보는게</t>
        </r>
        <r>
          <rPr>
            <sz val="9"/>
            <color indexed="81"/>
            <rFont val="Tahoma"/>
            <family val="2"/>
          </rPr>
          <t xml:space="preserve"> </t>
        </r>
        <r>
          <rPr>
            <sz val="9"/>
            <color indexed="81"/>
            <rFont val="돋움"/>
            <family val="3"/>
            <charset val="129"/>
          </rPr>
          <t>낫겠다</t>
        </r>
        <r>
          <rPr>
            <sz val="9"/>
            <color indexed="81"/>
            <rFont val="Tahoma"/>
            <family val="2"/>
          </rPr>
          <t>.</t>
        </r>
      </text>
    </comment>
    <comment ref="AN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text>
    </comment>
    <comment ref="AO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bilateral. Rt. 1R</t>
        </r>
        <r>
          <rPr>
            <sz val="9"/>
            <color indexed="81"/>
            <rFont val="돋움"/>
            <family val="3"/>
            <charset val="129"/>
          </rPr>
          <t>을</t>
        </r>
        <r>
          <rPr>
            <sz val="9"/>
            <color indexed="81"/>
            <rFont val="Tahoma"/>
            <family val="2"/>
          </rPr>
          <t xml:space="preserve"> </t>
        </r>
        <r>
          <rPr>
            <sz val="9"/>
            <color indexed="81"/>
            <rFont val="돋움"/>
            <family val="3"/>
            <charset val="129"/>
          </rPr>
          <t>고려해도</t>
        </r>
        <r>
          <rPr>
            <sz val="9"/>
            <color indexed="81"/>
            <rFont val="Tahoma"/>
            <family val="2"/>
          </rPr>
          <t>.</t>
        </r>
      </text>
    </comment>
    <comment ref="FU9" authorId="0" shapeId="0">
      <text>
        <r>
          <rPr>
            <b/>
            <sz val="9"/>
            <color indexed="81"/>
            <rFont val="Tahoma"/>
            <family val="2"/>
          </rPr>
          <t xml:space="preserve">Windows </t>
        </r>
        <r>
          <rPr>
            <b/>
            <sz val="9"/>
            <color indexed="81"/>
            <rFont val="돋움"/>
            <family val="3"/>
            <charset val="129"/>
          </rPr>
          <t>사용자</t>
        </r>
        <r>
          <rPr>
            <b/>
            <sz val="9"/>
            <color indexed="81"/>
            <rFont val="Tahoma"/>
            <family val="2"/>
          </rPr>
          <t xml:space="preserve">:
</t>
        </r>
        <r>
          <rPr>
            <sz val="9"/>
            <color indexed="81"/>
            <rFont val="Tahoma"/>
            <family val="2"/>
          </rPr>
          <t xml:space="preserve">balloon dilatation (2014/2/21, 2013/7/15, 2013/7/12)
</t>
        </r>
        <r>
          <rPr>
            <sz val="9"/>
            <color indexed="81"/>
            <rFont val="돋움"/>
            <family val="3"/>
            <charset val="129"/>
          </rPr>
          <t>사망과도</t>
        </r>
        <r>
          <rPr>
            <sz val="9"/>
            <color indexed="81"/>
            <rFont val="Tahoma"/>
            <family val="2"/>
          </rPr>
          <t xml:space="preserve"> </t>
        </r>
        <r>
          <rPr>
            <sz val="9"/>
            <color indexed="81"/>
            <rFont val="돋움"/>
            <family val="3"/>
            <charset val="129"/>
          </rPr>
          <t>연관이</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Q1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inferior esophagus</t>
        </r>
        <r>
          <rPr>
            <sz val="9"/>
            <color indexed="81"/>
            <rFont val="돋움"/>
            <family val="3"/>
            <charset val="129"/>
          </rPr>
          <t>에는</t>
        </r>
        <r>
          <rPr>
            <sz val="9"/>
            <color indexed="81"/>
            <rFont val="Tahoma"/>
            <family val="2"/>
          </rPr>
          <t xml:space="preserve"> </t>
        </r>
        <r>
          <rPr>
            <sz val="9"/>
            <color indexed="81"/>
            <rFont val="돋움"/>
            <family val="3"/>
            <charset val="129"/>
          </rPr>
          <t>딱히</t>
        </r>
        <r>
          <rPr>
            <sz val="9"/>
            <color indexed="81"/>
            <rFont val="Tahoma"/>
            <family val="2"/>
          </rPr>
          <t xml:space="preserve"> elective </t>
        </r>
        <r>
          <rPr>
            <sz val="9"/>
            <color indexed="81"/>
            <rFont val="돋움"/>
            <family val="3"/>
            <charset val="129"/>
          </rPr>
          <t>할</t>
        </r>
        <r>
          <rPr>
            <sz val="9"/>
            <color indexed="81"/>
            <rFont val="Tahoma"/>
            <family val="2"/>
          </rPr>
          <t xml:space="preserve"> </t>
        </r>
        <r>
          <rPr>
            <sz val="9"/>
            <color indexed="81"/>
            <rFont val="돋움"/>
            <family val="3"/>
            <charset val="129"/>
          </rPr>
          <t>것도</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그런</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같기도</t>
        </r>
        <r>
          <rPr>
            <sz val="9"/>
            <color indexed="81"/>
            <rFont val="Tahoma"/>
            <family val="2"/>
          </rPr>
          <t xml:space="preserve"> </t>
        </r>
        <r>
          <rPr>
            <sz val="9"/>
            <color indexed="81"/>
            <rFont val="돋움"/>
            <family val="3"/>
            <charset val="129"/>
          </rPr>
          <t>하고</t>
        </r>
        <r>
          <rPr>
            <sz val="9"/>
            <color indexed="81"/>
            <rFont val="Tahoma"/>
            <family val="2"/>
          </rPr>
          <t>.</t>
        </r>
      </text>
    </comment>
    <comment ref="BA1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Huge gastric mass</t>
        </r>
        <r>
          <rPr>
            <sz val="9"/>
            <color indexed="81"/>
            <rFont val="돋움"/>
            <family val="3"/>
            <charset val="129"/>
          </rPr>
          <t>가</t>
        </r>
        <r>
          <rPr>
            <sz val="9"/>
            <color indexed="81"/>
            <rFont val="Tahoma"/>
            <family val="2"/>
          </rPr>
          <t xml:space="preserve"> </t>
        </r>
        <r>
          <rPr>
            <sz val="9"/>
            <color indexed="81"/>
            <rFont val="돋움"/>
            <family val="3"/>
            <charset val="129"/>
          </rPr>
          <t>있어서</t>
        </r>
        <r>
          <rPr>
            <sz val="9"/>
            <color indexed="81"/>
            <rFont val="Tahoma"/>
            <family val="2"/>
          </rPr>
          <t xml:space="preserve"> GTVp</t>
        </r>
        <r>
          <rPr>
            <sz val="9"/>
            <color indexed="81"/>
            <rFont val="돋움"/>
            <family val="3"/>
            <charset val="129"/>
          </rPr>
          <t>와</t>
        </r>
        <r>
          <rPr>
            <sz val="9"/>
            <color indexed="81"/>
            <rFont val="Tahoma"/>
            <family val="2"/>
          </rPr>
          <t xml:space="preserve"> GTVn</t>
        </r>
        <r>
          <rPr>
            <sz val="9"/>
            <color indexed="81"/>
            <rFont val="돋움"/>
            <family val="3"/>
            <charset val="129"/>
          </rPr>
          <t>의</t>
        </r>
        <r>
          <rPr>
            <sz val="9"/>
            <color indexed="81"/>
            <rFont val="Tahoma"/>
            <family val="2"/>
          </rPr>
          <t xml:space="preserve"> </t>
        </r>
        <r>
          <rPr>
            <sz val="9"/>
            <color indexed="81"/>
            <rFont val="돋움"/>
            <family val="3"/>
            <charset val="129"/>
          </rPr>
          <t>경계가</t>
        </r>
        <r>
          <rPr>
            <sz val="9"/>
            <color indexed="81"/>
            <rFont val="Tahoma"/>
            <family val="2"/>
          </rPr>
          <t xml:space="preserve"> </t>
        </r>
        <r>
          <rPr>
            <sz val="9"/>
            <color indexed="81"/>
            <rFont val="돋움"/>
            <family val="3"/>
            <charset val="129"/>
          </rPr>
          <t>모호한</t>
        </r>
        <r>
          <rPr>
            <sz val="9"/>
            <color indexed="81"/>
            <rFont val="Tahoma"/>
            <family val="2"/>
          </rPr>
          <t xml:space="preserve"> </t>
        </r>
        <r>
          <rPr>
            <sz val="9"/>
            <color indexed="81"/>
            <rFont val="돋움"/>
            <family val="3"/>
            <charset val="129"/>
          </rPr>
          <t>편</t>
        </r>
      </text>
    </comment>
    <comment ref="BD1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CC10" authorId="1" shapeId="0">
      <text>
        <r>
          <rPr>
            <b/>
            <sz val="9"/>
            <color indexed="81"/>
            <rFont val="Tahoma"/>
            <family val="2"/>
          </rPr>
          <t>SNUH:</t>
        </r>
        <r>
          <rPr>
            <sz val="9"/>
            <color indexed="81"/>
            <rFont val="Tahoma"/>
            <family val="2"/>
          </rPr>
          <t xml:space="preserve">
o/s PET, </t>
        </r>
        <r>
          <rPr>
            <sz val="9"/>
            <color indexed="81"/>
            <rFont val="돋움"/>
            <family val="3"/>
            <charset val="129"/>
          </rPr>
          <t>외부</t>
        </r>
        <r>
          <rPr>
            <sz val="9"/>
            <color indexed="81"/>
            <rFont val="Tahoma"/>
            <family val="2"/>
          </rPr>
          <t xml:space="preserve"> </t>
        </r>
        <r>
          <rPr>
            <sz val="9"/>
            <color indexed="81"/>
            <rFont val="돋움"/>
            <family val="3"/>
            <charset val="129"/>
          </rPr>
          <t>기록</t>
        </r>
        <r>
          <rPr>
            <sz val="9"/>
            <color indexed="81"/>
            <rFont val="Tahoma"/>
            <family val="2"/>
          </rPr>
          <t xml:space="preserve"> </t>
        </r>
        <r>
          <rPr>
            <sz val="9"/>
            <color indexed="81"/>
            <rFont val="돋움"/>
            <family val="3"/>
            <charset val="129"/>
          </rPr>
          <t>없음</t>
        </r>
      </text>
    </comment>
    <comment ref="AQ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애매하긴</t>
        </r>
        <r>
          <rPr>
            <sz val="9"/>
            <color indexed="81"/>
            <rFont val="Tahoma"/>
            <family val="2"/>
          </rPr>
          <t xml:space="preserve"> </t>
        </r>
        <r>
          <rPr>
            <sz val="9"/>
            <color indexed="81"/>
            <rFont val="돋움"/>
            <family val="3"/>
            <charset val="129"/>
          </rPr>
          <t>하네</t>
        </r>
        <r>
          <rPr>
            <sz val="9"/>
            <color indexed="81"/>
            <rFont val="Tahoma"/>
            <family val="2"/>
          </rPr>
          <t xml:space="preserve">, CTV </t>
        </r>
        <r>
          <rPr>
            <sz val="9"/>
            <color indexed="81"/>
            <rFont val="돋움"/>
            <family val="3"/>
            <charset val="129"/>
          </rPr>
          <t>위쪽의</t>
        </r>
        <r>
          <rPr>
            <sz val="9"/>
            <color indexed="81"/>
            <rFont val="Tahoma"/>
            <family val="2"/>
          </rPr>
          <t xml:space="preserve"> paratracheal LN area</t>
        </r>
        <r>
          <rPr>
            <sz val="9"/>
            <color indexed="81"/>
            <rFont val="돋움"/>
            <family val="3"/>
            <charset val="129"/>
          </rPr>
          <t>가</t>
        </r>
        <r>
          <rPr>
            <sz val="9"/>
            <color indexed="81"/>
            <rFont val="Tahoma"/>
            <family val="2"/>
          </rPr>
          <t xml:space="preserve"> </t>
        </r>
        <r>
          <rPr>
            <sz val="9"/>
            <color indexed="81"/>
            <rFont val="돋움"/>
            <family val="3"/>
            <charset val="129"/>
          </rPr>
          <t>일부</t>
        </r>
        <r>
          <rPr>
            <sz val="9"/>
            <color indexed="81"/>
            <rFont val="Tahoma"/>
            <family val="2"/>
          </rPr>
          <t xml:space="preserve"> </t>
        </r>
        <r>
          <rPr>
            <sz val="9"/>
            <color indexed="81"/>
            <rFont val="돋움"/>
            <family val="3"/>
            <charset val="129"/>
          </rPr>
          <t>포함된</t>
        </r>
        <r>
          <rPr>
            <sz val="9"/>
            <color indexed="81"/>
            <rFont val="Tahoma"/>
            <family val="2"/>
          </rPr>
          <t xml:space="preserve"> </t>
        </r>
        <r>
          <rPr>
            <sz val="9"/>
            <color indexed="81"/>
            <rFont val="돋움"/>
            <family val="3"/>
            <charset val="129"/>
          </rPr>
          <t>정도일</t>
        </r>
        <r>
          <rPr>
            <sz val="9"/>
            <color indexed="81"/>
            <rFont val="Tahoma"/>
            <family val="2"/>
          </rPr>
          <t xml:space="preserve"> </t>
        </r>
        <r>
          <rPr>
            <sz val="9"/>
            <color indexed="81"/>
            <rFont val="돋움"/>
            <family val="3"/>
            <charset val="129"/>
          </rPr>
          <t>뿐인데</t>
        </r>
        <r>
          <rPr>
            <sz val="9"/>
            <color indexed="81"/>
            <rFont val="Tahoma"/>
            <family val="2"/>
          </rPr>
          <t>.</t>
        </r>
      </text>
    </comment>
    <comment ref="AU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superior 4cm, inferior 2cm</t>
        </r>
        <r>
          <rPr>
            <sz val="9"/>
            <color indexed="81"/>
            <rFont val="돋움"/>
            <family val="3"/>
            <charset val="129"/>
          </rPr>
          <t>으로</t>
        </r>
        <r>
          <rPr>
            <sz val="9"/>
            <color indexed="81"/>
            <rFont val="Tahoma"/>
            <family val="2"/>
          </rPr>
          <t xml:space="preserve"> </t>
        </r>
        <r>
          <rPr>
            <sz val="9"/>
            <color indexed="81"/>
            <rFont val="돋움"/>
            <family val="3"/>
            <charset val="129"/>
          </rPr>
          <t>생각된다</t>
        </r>
        <r>
          <rPr>
            <sz val="9"/>
            <color indexed="81"/>
            <rFont val="Tahoma"/>
            <family val="2"/>
          </rPr>
          <t>.</t>
        </r>
      </text>
    </comment>
    <comment ref="BD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DU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이건</t>
        </r>
        <r>
          <rPr>
            <sz val="9"/>
            <color indexed="81"/>
            <rFont val="Tahoma"/>
            <family val="2"/>
          </rPr>
          <t xml:space="preserve"> 2013/12/20</t>
        </r>
        <r>
          <rPr>
            <sz val="9"/>
            <color indexed="81"/>
            <rFont val="돋움"/>
            <family val="3"/>
            <charset val="129"/>
          </rPr>
          <t>정도</t>
        </r>
        <r>
          <rPr>
            <sz val="9"/>
            <color indexed="81"/>
            <rFont val="Tahoma"/>
            <family val="2"/>
          </rPr>
          <t>.</t>
        </r>
      </text>
    </comment>
    <comment ref="FW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anastomotic leakage</t>
        </r>
        <r>
          <rPr>
            <sz val="9"/>
            <color indexed="81"/>
            <rFont val="돋움"/>
            <family val="3"/>
            <charset val="129"/>
          </rPr>
          <t>가</t>
        </r>
        <r>
          <rPr>
            <sz val="9"/>
            <color indexed="81"/>
            <rFont val="Tahoma"/>
            <family val="2"/>
          </rPr>
          <t xml:space="preserve"> </t>
        </r>
        <r>
          <rPr>
            <sz val="9"/>
            <color indexed="81"/>
            <rFont val="돋움"/>
            <family val="3"/>
            <charset val="129"/>
          </rPr>
          <t>문제였다</t>
        </r>
        <r>
          <rPr>
            <sz val="9"/>
            <color indexed="81"/>
            <rFont val="Tahoma"/>
            <family val="2"/>
          </rPr>
          <t>.</t>
        </r>
      </text>
    </comment>
    <comment ref="AF1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SCL</t>
        </r>
      </text>
    </comment>
    <comment ref="AN1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 </t>
        </r>
        <r>
          <rPr>
            <sz val="9"/>
            <color indexed="81"/>
            <rFont val="돋움"/>
            <family val="3"/>
            <charset val="129"/>
          </rPr>
          <t>다만</t>
        </r>
        <r>
          <rPr>
            <sz val="9"/>
            <color indexed="81"/>
            <rFont val="Tahoma"/>
            <family val="2"/>
          </rPr>
          <t xml:space="preserve"> lymph node metastasis </t>
        </r>
        <r>
          <rPr>
            <sz val="9"/>
            <color indexed="81"/>
            <rFont val="돋움"/>
            <family val="3"/>
            <charset val="129"/>
          </rPr>
          <t>있던</t>
        </r>
        <r>
          <rPr>
            <sz val="9"/>
            <color indexed="81"/>
            <rFont val="Tahoma"/>
            <family val="2"/>
          </rPr>
          <t xml:space="preserve"> </t>
        </r>
        <r>
          <rPr>
            <sz val="9"/>
            <color indexed="81"/>
            <rFont val="돋움"/>
            <family val="3"/>
            <charset val="129"/>
          </rPr>
          <t>사이를</t>
        </r>
        <r>
          <rPr>
            <sz val="9"/>
            <color indexed="81"/>
            <rFont val="Tahoma"/>
            <family val="2"/>
          </rPr>
          <t xml:space="preserve"> </t>
        </r>
        <r>
          <rPr>
            <sz val="9"/>
            <color indexed="81"/>
            <rFont val="돋움"/>
            <family val="3"/>
            <charset val="129"/>
          </rPr>
          <t>채운거라</t>
        </r>
        <r>
          <rPr>
            <sz val="9"/>
            <color indexed="81"/>
            <rFont val="Tahoma"/>
            <family val="2"/>
          </rPr>
          <t>.</t>
        </r>
      </text>
    </comment>
    <comment ref="AO1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SCL</t>
        </r>
        <r>
          <rPr>
            <sz val="9"/>
            <color indexed="81"/>
            <rFont val="돋움"/>
            <family val="3"/>
            <charset val="129"/>
          </rPr>
          <t>에는</t>
        </r>
        <r>
          <rPr>
            <sz val="9"/>
            <color indexed="81"/>
            <rFont val="Tahoma"/>
            <family val="2"/>
          </rPr>
          <t xml:space="preserve"> </t>
        </r>
        <r>
          <rPr>
            <sz val="9"/>
            <color indexed="81"/>
            <rFont val="돋움"/>
            <family val="3"/>
            <charset val="129"/>
          </rPr>
          <t>이미</t>
        </r>
        <r>
          <rPr>
            <sz val="9"/>
            <color indexed="81"/>
            <rFont val="Tahoma"/>
            <family val="2"/>
          </rPr>
          <t xml:space="preserve"> disease</t>
        </r>
        <r>
          <rPr>
            <sz val="9"/>
            <color indexed="81"/>
            <rFont val="돋움"/>
            <family val="3"/>
            <charset val="129"/>
          </rPr>
          <t>가</t>
        </r>
        <r>
          <rPr>
            <sz val="9"/>
            <color indexed="81"/>
            <rFont val="Tahoma"/>
            <family val="2"/>
          </rPr>
          <t xml:space="preserve"> </t>
        </r>
        <r>
          <rPr>
            <sz val="9"/>
            <color indexed="81"/>
            <rFont val="돋움"/>
            <family val="3"/>
            <charset val="129"/>
          </rPr>
          <t>있으니까</t>
        </r>
        <r>
          <rPr>
            <sz val="9"/>
            <color indexed="81"/>
            <rFont val="Tahoma"/>
            <family val="2"/>
          </rPr>
          <t>.</t>
        </r>
      </text>
    </comment>
    <comment ref="BD1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BC1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위쪽은</t>
        </r>
        <r>
          <rPr>
            <sz val="9"/>
            <color indexed="81"/>
            <rFont val="Tahoma"/>
            <family val="2"/>
          </rPr>
          <t xml:space="preserve"> </t>
        </r>
        <r>
          <rPr>
            <sz val="9"/>
            <color indexed="81"/>
            <rFont val="돋움"/>
            <family val="3"/>
            <charset val="129"/>
          </rPr>
          <t>다소</t>
        </r>
        <r>
          <rPr>
            <sz val="9"/>
            <color indexed="81"/>
            <rFont val="Tahoma"/>
            <family val="2"/>
          </rPr>
          <t xml:space="preserve"> partial coverage</t>
        </r>
      </text>
    </comment>
    <comment ref="AN1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carina </t>
        </r>
        <r>
          <rPr>
            <sz val="9"/>
            <color indexed="81"/>
            <rFont val="돋움"/>
            <family val="3"/>
            <charset val="129"/>
          </rPr>
          <t>아래</t>
        </r>
        <r>
          <rPr>
            <sz val="9"/>
            <color indexed="81"/>
            <rFont val="Tahoma"/>
            <family val="2"/>
          </rPr>
          <t xml:space="preserve"> mediastinal LN area</t>
        </r>
        <r>
          <rPr>
            <sz val="9"/>
            <color indexed="81"/>
            <rFont val="돋움"/>
            <family val="3"/>
            <charset val="129"/>
          </rPr>
          <t>를</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포함</t>
        </r>
        <r>
          <rPr>
            <sz val="9"/>
            <color indexed="81"/>
            <rFont val="Tahoma"/>
            <family val="2"/>
          </rPr>
          <t>.</t>
        </r>
      </text>
    </comment>
    <comment ref="BD1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BA1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LN</t>
        </r>
        <r>
          <rPr>
            <sz val="9"/>
            <color indexed="81"/>
            <rFont val="돋움"/>
            <family val="3"/>
            <charset val="129"/>
          </rPr>
          <t>이랑</t>
        </r>
        <r>
          <rPr>
            <sz val="9"/>
            <color indexed="81"/>
            <rFont val="Tahoma"/>
            <family val="2"/>
          </rPr>
          <t xml:space="preserve"> </t>
        </r>
        <r>
          <rPr>
            <sz val="9"/>
            <color indexed="81"/>
            <rFont val="돋움"/>
            <family val="3"/>
            <charset val="129"/>
          </rPr>
          <t>구분이</t>
        </r>
        <r>
          <rPr>
            <sz val="9"/>
            <color indexed="81"/>
            <rFont val="Tahoma"/>
            <family val="2"/>
          </rPr>
          <t xml:space="preserve"> </t>
        </r>
        <r>
          <rPr>
            <sz val="9"/>
            <color indexed="81"/>
            <rFont val="돋움"/>
            <family val="3"/>
            <charset val="129"/>
          </rPr>
          <t>어려운</t>
        </r>
        <r>
          <rPr>
            <sz val="9"/>
            <color indexed="81"/>
            <rFont val="Tahoma"/>
            <family val="2"/>
          </rPr>
          <t xml:space="preserve"> </t>
        </r>
        <r>
          <rPr>
            <sz val="9"/>
            <color indexed="81"/>
            <rFont val="돋움"/>
            <family val="3"/>
            <charset val="129"/>
          </rPr>
          <t>부분이</t>
        </r>
        <r>
          <rPr>
            <sz val="9"/>
            <color indexed="81"/>
            <rFont val="Tahoma"/>
            <family val="2"/>
          </rPr>
          <t xml:space="preserve"> </t>
        </r>
        <r>
          <rPr>
            <sz val="9"/>
            <color indexed="81"/>
            <rFont val="돋움"/>
            <family val="3"/>
            <charset val="129"/>
          </rPr>
          <t>있긴</t>
        </r>
        <r>
          <rPr>
            <sz val="9"/>
            <color indexed="81"/>
            <rFont val="Tahoma"/>
            <family val="2"/>
          </rPr>
          <t xml:space="preserve"> </t>
        </r>
        <r>
          <rPr>
            <sz val="9"/>
            <color indexed="81"/>
            <rFont val="돋움"/>
            <family val="3"/>
            <charset val="129"/>
          </rPr>
          <t>하다</t>
        </r>
        <r>
          <rPr>
            <sz val="9"/>
            <color indexed="81"/>
            <rFont val="Tahoma"/>
            <family val="2"/>
          </rPr>
          <t>.</t>
        </r>
      </text>
    </comment>
    <comment ref="CC15" authorId="1" shapeId="0">
      <text>
        <r>
          <rPr>
            <b/>
            <sz val="9"/>
            <color indexed="81"/>
            <rFont val="Tahoma"/>
            <family val="2"/>
          </rPr>
          <t>SNUH:</t>
        </r>
        <r>
          <rPr>
            <sz val="9"/>
            <color indexed="81"/>
            <rFont val="Tahoma"/>
            <family val="2"/>
          </rPr>
          <t xml:space="preserve">
o/s PET, </t>
        </r>
        <r>
          <rPr>
            <sz val="9"/>
            <color indexed="81"/>
            <rFont val="돋움"/>
            <family val="3"/>
            <charset val="129"/>
          </rPr>
          <t>외부</t>
        </r>
        <r>
          <rPr>
            <sz val="9"/>
            <color indexed="81"/>
            <rFont val="Tahoma"/>
            <family val="2"/>
          </rPr>
          <t xml:space="preserve"> </t>
        </r>
        <r>
          <rPr>
            <sz val="9"/>
            <color indexed="81"/>
            <rFont val="돋움"/>
            <family val="3"/>
            <charset val="129"/>
          </rPr>
          <t>기록</t>
        </r>
        <r>
          <rPr>
            <sz val="9"/>
            <color indexed="81"/>
            <rFont val="Tahoma"/>
            <family val="2"/>
          </rPr>
          <t xml:space="preserve"> </t>
        </r>
        <r>
          <rPr>
            <sz val="9"/>
            <color indexed="81"/>
            <rFont val="돋움"/>
            <family val="3"/>
            <charset val="129"/>
          </rPr>
          <t>없음</t>
        </r>
        <r>
          <rPr>
            <sz val="9"/>
            <color indexed="81"/>
            <rFont val="Tahoma"/>
            <family val="2"/>
          </rPr>
          <t>.</t>
        </r>
      </text>
    </comment>
    <comment ref="FU1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2014/4/11 balloon dilatation</t>
        </r>
      </text>
    </comment>
    <comment ref="BD1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DM16" authorId="1" shapeId="0">
      <text>
        <r>
          <rPr>
            <sz val="9"/>
            <color indexed="81"/>
            <rFont val="Tahoma"/>
            <family val="2"/>
          </rPr>
          <t>LC</t>
        </r>
        <r>
          <rPr>
            <sz val="9"/>
            <color indexed="81"/>
            <rFont val="돋움"/>
            <family val="3"/>
            <charset val="129"/>
          </rPr>
          <t>로</t>
        </r>
        <r>
          <rPr>
            <sz val="9"/>
            <color indexed="81"/>
            <rFont val="Tahoma"/>
            <family val="2"/>
          </rPr>
          <t xml:space="preserve"> 2014-4-24</t>
        </r>
        <r>
          <rPr>
            <sz val="9"/>
            <color indexed="81"/>
            <rFont val="돋움"/>
            <family val="3"/>
            <charset val="129"/>
          </rPr>
          <t>부터</t>
        </r>
        <r>
          <rPr>
            <sz val="9"/>
            <color indexed="81"/>
            <rFont val="Tahoma"/>
            <family val="2"/>
          </rPr>
          <t xml:space="preserve"> RT</t>
        </r>
        <r>
          <rPr>
            <sz val="9"/>
            <color indexed="81"/>
            <rFont val="돋움"/>
            <family val="3"/>
            <charset val="129"/>
          </rPr>
          <t>함</t>
        </r>
      </text>
    </comment>
    <comment ref="DQ1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영상</t>
        </r>
        <r>
          <rPr>
            <sz val="9"/>
            <color indexed="81"/>
            <rFont val="Tahoma"/>
            <family val="2"/>
          </rPr>
          <t xml:space="preserve"> </t>
        </r>
        <r>
          <rPr>
            <sz val="9"/>
            <color indexed="81"/>
            <rFont val="돋움"/>
            <family val="3"/>
            <charset val="129"/>
          </rPr>
          <t>판독에는</t>
        </r>
        <r>
          <rPr>
            <sz val="9"/>
            <color indexed="81"/>
            <rFont val="Tahoma"/>
            <family val="2"/>
          </rPr>
          <t xml:space="preserve"> esophageal wall</t>
        </r>
        <r>
          <rPr>
            <sz val="9"/>
            <color indexed="81"/>
            <rFont val="돋움"/>
            <family val="3"/>
            <charset val="129"/>
          </rPr>
          <t>의</t>
        </r>
        <r>
          <rPr>
            <sz val="9"/>
            <color indexed="81"/>
            <rFont val="Tahoma"/>
            <family val="2"/>
          </rPr>
          <t xml:space="preserve"> </t>
        </r>
        <r>
          <rPr>
            <sz val="9"/>
            <color indexed="81"/>
            <rFont val="돋움"/>
            <family val="3"/>
            <charset val="129"/>
          </rPr>
          <t>문제로</t>
        </r>
        <r>
          <rPr>
            <sz val="9"/>
            <color indexed="81"/>
            <rFont val="Tahoma"/>
            <family val="2"/>
          </rPr>
          <t xml:space="preserve"> </t>
        </r>
        <r>
          <rPr>
            <sz val="9"/>
            <color indexed="81"/>
            <rFont val="돋움"/>
            <family val="3"/>
            <charset val="129"/>
          </rPr>
          <t>보았고</t>
        </r>
        <r>
          <rPr>
            <sz val="9"/>
            <color indexed="81"/>
            <rFont val="Tahoma"/>
            <family val="2"/>
          </rPr>
          <t xml:space="preserve">, </t>
        </r>
        <r>
          <rPr>
            <sz val="9"/>
            <color indexed="81"/>
            <rFont val="돋움"/>
            <family val="3"/>
            <charset val="129"/>
          </rPr>
          <t>외래</t>
        </r>
        <r>
          <rPr>
            <sz val="9"/>
            <color indexed="81"/>
            <rFont val="Tahoma"/>
            <family val="2"/>
          </rPr>
          <t xml:space="preserve"> </t>
        </r>
        <r>
          <rPr>
            <sz val="9"/>
            <color indexed="81"/>
            <rFont val="돋움"/>
            <family val="3"/>
            <charset val="129"/>
          </rPr>
          <t>기록</t>
        </r>
        <r>
          <rPr>
            <sz val="9"/>
            <color indexed="81"/>
            <rFont val="Tahoma"/>
            <family val="2"/>
          </rPr>
          <t xml:space="preserve"> </t>
        </r>
        <r>
          <rPr>
            <sz val="9"/>
            <color indexed="81"/>
            <rFont val="돋움"/>
            <family val="3"/>
            <charset val="129"/>
          </rPr>
          <t>상에는</t>
        </r>
        <r>
          <rPr>
            <sz val="9"/>
            <color indexed="81"/>
            <rFont val="Tahoma"/>
            <family val="2"/>
          </rPr>
          <t xml:space="preserve"> 2L recurrence</t>
        </r>
        <r>
          <rPr>
            <sz val="9"/>
            <color indexed="81"/>
            <rFont val="돋움"/>
            <family val="3"/>
            <charset val="129"/>
          </rPr>
          <t>로</t>
        </r>
        <r>
          <rPr>
            <sz val="9"/>
            <color indexed="81"/>
            <rFont val="Tahoma"/>
            <family val="2"/>
          </rPr>
          <t xml:space="preserve"> </t>
        </r>
        <r>
          <rPr>
            <sz val="9"/>
            <color indexed="81"/>
            <rFont val="돋움"/>
            <family val="3"/>
            <charset val="129"/>
          </rPr>
          <t>해석하기도</t>
        </r>
        <r>
          <rPr>
            <sz val="9"/>
            <color indexed="81"/>
            <rFont val="Tahoma"/>
            <family val="2"/>
          </rPr>
          <t xml:space="preserve"> </t>
        </r>
        <r>
          <rPr>
            <sz val="9"/>
            <color indexed="81"/>
            <rFont val="돋움"/>
            <family val="3"/>
            <charset val="129"/>
          </rPr>
          <t>했고</t>
        </r>
        <r>
          <rPr>
            <sz val="9"/>
            <color indexed="81"/>
            <rFont val="Tahoma"/>
            <family val="2"/>
          </rPr>
          <t xml:space="preserve"> </t>
        </r>
        <r>
          <rPr>
            <sz val="9"/>
            <color indexed="81"/>
            <rFont val="돋움"/>
            <family val="3"/>
            <charset val="129"/>
          </rPr>
          <t>해서</t>
        </r>
        <r>
          <rPr>
            <sz val="9"/>
            <color indexed="81"/>
            <rFont val="Tahoma"/>
            <family val="2"/>
          </rPr>
          <t xml:space="preserve"> </t>
        </r>
        <r>
          <rPr>
            <sz val="9"/>
            <color indexed="81"/>
            <rFont val="돋움"/>
            <family val="3"/>
            <charset val="129"/>
          </rPr>
          <t>다소</t>
        </r>
        <r>
          <rPr>
            <sz val="9"/>
            <color indexed="81"/>
            <rFont val="Tahoma"/>
            <family val="2"/>
          </rPr>
          <t xml:space="preserve"> </t>
        </r>
        <r>
          <rPr>
            <sz val="9"/>
            <color indexed="81"/>
            <rFont val="돋움"/>
            <family val="3"/>
            <charset val="129"/>
          </rPr>
          <t>애매한가</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보기에는</t>
        </r>
        <r>
          <rPr>
            <sz val="9"/>
            <color indexed="81"/>
            <rFont val="Tahoma"/>
            <family val="2"/>
          </rPr>
          <t xml:space="preserve"> local recurrence </t>
        </r>
        <r>
          <rPr>
            <sz val="9"/>
            <color indexed="81"/>
            <rFont val="돋움"/>
            <family val="3"/>
            <charset val="129"/>
          </rPr>
          <t>같은데</t>
        </r>
        <r>
          <rPr>
            <sz val="9"/>
            <color indexed="81"/>
            <rFont val="Tahoma"/>
            <family val="2"/>
          </rPr>
          <t>...</t>
        </r>
      </text>
    </comment>
    <comment ref="DV1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2R (2016/10/20)</t>
        </r>
      </text>
    </comment>
    <comment ref="FU1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balloon dilatation (2014/1/20, 2/6, 4/8)</t>
        </r>
      </text>
    </comment>
    <comment ref="FW1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salvage esophagectomy </t>
        </r>
        <r>
          <rPr>
            <sz val="9"/>
            <color indexed="81"/>
            <rFont val="돋움"/>
            <family val="3"/>
            <charset val="129"/>
          </rPr>
          <t>이후</t>
        </r>
        <r>
          <rPr>
            <sz val="9"/>
            <color indexed="81"/>
            <rFont val="Tahoma"/>
            <family val="2"/>
          </rPr>
          <t xml:space="preserve"> colon disposition</t>
        </r>
        <r>
          <rPr>
            <sz val="9"/>
            <color indexed="81"/>
            <rFont val="돋움"/>
            <family val="3"/>
            <charset val="129"/>
          </rPr>
          <t>을</t>
        </r>
        <r>
          <rPr>
            <sz val="9"/>
            <color indexed="81"/>
            <rFont val="Tahoma"/>
            <family val="2"/>
          </rPr>
          <t xml:space="preserve"> </t>
        </r>
        <r>
          <rPr>
            <sz val="9"/>
            <color indexed="81"/>
            <rFont val="돋움"/>
            <family val="3"/>
            <charset val="129"/>
          </rPr>
          <t>하였는데</t>
        </r>
        <r>
          <rPr>
            <sz val="9"/>
            <color indexed="81"/>
            <rFont val="Tahoma"/>
            <family val="2"/>
          </rPr>
          <t>, tracheo-colonic fistula</t>
        </r>
        <r>
          <rPr>
            <sz val="9"/>
            <color indexed="81"/>
            <rFont val="돋움"/>
            <family val="3"/>
            <charset val="129"/>
          </rPr>
          <t>가</t>
        </r>
        <r>
          <rPr>
            <sz val="9"/>
            <color indexed="81"/>
            <rFont val="Tahoma"/>
            <family val="2"/>
          </rPr>
          <t xml:space="preserve"> </t>
        </r>
        <r>
          <rPr>
            <sz val="9"/>
            <color indexed="81"/>
            <rFont val="돋움"/>
            <family val="3"/>
            <charset val="129"/>
          </rPr>
          <t>생겨서</t>
        </r>
        <r>
          <rPr>
            <sz val="9"/>
            <color indexed="81"/>
            <rFont val="Tahoma"/>
            <family val="2"/>
          </rPr>
          <t xml:space="preserve"> </t>
        </r>
        <r>
          <rPr>
            <sz val="9"/>
            <color indexed="81"/>
            <rFont val="돋움"/>
            <family val="3"/>
            <charset val="129"/>
          </rPr>
          <t>내내</t>
        </r>
        <r>
          <rPr>
            <sz val="9"/>
            <color indexed="81"/>
            <rFont val="Tahoma"/>
            <family val="2"/>
          </rPr>
          <t xml:space="preserve"> management</t>
        </r>
        <r>
          <rPr>
            <sz val="9"/>
            <color indexed="81"/>
            <rFont val="돋움"/>
            <family val="3"/>
            <charset val="129"/>
          </rPr>
          <t>를</t>
        </r>
        <r>
          <rPr>
            <sz val="9"/>
            <color indexed="81"/>
            <rFont val="Tahoma"/>
            <family val="2"/>
          </rPr>
          <t xml:space="preserve"> </t>
        </r>
        <r>
          <rPr>
            <sz val="9"/>
            <color indexed="81"/>
            <rFont val="돋움"/>
            <family val="3"/>
            <charset val="129"/>
          </rPr>
          <t>받았었다</t>
        </r>
        <r>
          <rPr>
            <sz val="9"/>
            <color indexed="81"/>
            <rFont val="Tahoma"/>
            <family val="2"/>
          </rPr>
          <t xml:space="preserve">. Locoregional recurrence </t>
        </r>
        <r>
          <rPr>
            <sz val="9"/>
            <color indexed="81"/>
            <rFont val="돋움"/>
            <family val="3"/>
            <charset val="129"/>
          </rPr>
          <t>이후</t>
        </r>
        <r>
          <rPr>
            <sz val="9"/>
            <color indexed="81"/>
            <rFont val="Tahoma"/>
            <family val="2"/>
          </rPr>
          <t xml:space="preserve"> salvage CCRT, op</t>
        </r>
        <r>
          <rPr>
            <sz val="9"/>
            <color indexed="81"/>
            <rFont val="돋움"/>
            <family val="3"/>
            <charset val="129"/>
          </rPr>
          <t>를</t>
        </r>
        <r>
          <rPr>
            <sz val="9"/>
            <color indexed="81"/>
            <rFont val="Tahoma"/>
            <family val="2"/>
          </rPr>
          <t xml:space="preserve"> </t>
        </r>
        <r>
          <rPr>
            <sz val="9"/>
            <color indexed="81"/>
            <rFont val="돋움"/>
            <family val="3"/>
            <charset val="129"/>
          </rPr>
          <t>시행하였다는</t>
        </r>
        <r>
          <rPr>
            <sz val="9"/>
            <color indexed="81"/>
            <rFont val="Tahoma"/>
            <family val="2"/>
          </rPr>
          <t xml:space="preserve"> </t>
        </r>
        <r>
          <rPr>
            <sz val="9"/>
            <color indexed="81"/>
            <rFont val="돋움"/>
            <family val="3"/>
            <charset val="129"/>
          </rPr>
          <t>점에</t>
        </r>
        <r>
          <rPr>
            <sz val="9"/>
            <color indexed="81"/>
            <rFont val="Tahoma"/>
            <family val="2"/>
          </rPr>
          <t xml:space="preserve"> </t>
        </r>
        <r>
          <rPr>
            <sz val="9"/>
            <color indexed="81"/>
            <rFont val="돋움"/>
            <family val="3"/>
            <charset val="129"/>
          </rPr>
          <t>유의</t>
        </r>
        <r>
          <rPr>
            <sz val="9"/>
            <color indexed="81"/>
            <rFont val="Tahoma"/>
            <family val="2"/>
          </rPr>
          <t>.</t>
        </r>
      </text>
    </comment>
    <comment ref="FU1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Balloon dilatation (2017/6/13, 2016/9/6, 2016/5/26, 2014/3/6)</t>
        </r>
      </text>
    </comment>
    <comment ref="AN1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mediastinal LN. lymph node metastasis</t>
        </r>
        <r>
          <rPr>
            <sz val="9"/>
            <color indexed="81"/>
            <rFont val="돋움"/>
            <family val="3"/>
            <charset val="129"/>
          </rPr>
          <t>와</t>
        </r>
        <r>
          <rPr>
            <sz val="9"/>
            <color indexed="81"/>
            <rFont val="Tahoma"/>
            <family val="2"/>
          </rPr>
          <t xml:space="preserve"> primary site </t>
        </r>
        <r>
          <rPr>
            <sz val="9"/>
            <color indexed="81"/>
            <rFont val="돋움"/>
            <family val="3"/>
            <charset val="129"/>
          </rPr>
          <t>사이를</t>
        </r>
        <r>
          <rPr>
            <sz val="9"/>
            <color indexed="81"/>
            <rFont val="Tahoma"/>
            <family val="2"/>
          </rPr>
          <t xml:space="preserve"> </t>
        </r>
        <r>
          <rPr>
            <sz val="9"/>
            <color indexed="81"/>
            <rFont val="돋움"/>
            <family val="3"/>
            <charset val="129"/>
          </rPr>
          <t>채운</t>
        </r>
        <r>
          <rPr>
            <sz val="9"/>
            <color indexed="81"/>
            <rFont val="Tahoma"/>
            <family val="2"/>
          </rPr>
          <t xml:space="preserve"> </t>
        </r>
        <r>
          <rPr>
            <sz val="9"/>
            <color indexed="81"/>
            <rFont val="돋움"/>
            <family val="3"/>
            <charset val="129"/>
          </rPr>
          <t>것이다</t>
        </r>
        <r>
          <rPr>
            <sz val="9"/>
            <color indexed="81"/>
            <rFont val="Tahoma"/>
            <family val="2"/>
          </rPr>
          <t>.</t>
        </r>
      </text>
    </comment>
    <comment ref="CD18" authorId="1" shapeId="0">
      <text>
        <r>
          <rPr>
            <b/>
            <sz val="9"/>
            <color indexed="81"/>
            <rFont val="Tahoma"/>
            <family val="2"/>
          </rPr>
          <t>SNUH:</t>
        </r>
        <r>
          <rPr>
            <sz val="9"/>
            <color indexed="81"/>
            <rFont val="Tahoma"/>
            <family val="2"/>
          </rPr>
          <t xml:space="preserve">
"nearly-all thoracic esophagus</t>
        </r>
        <r>
          <rPr>
            <sz val="9"/>
            <color indexed="81"/>
            <rFont val="돋움"/>
            <family val="3"/>
            <charset val="129"/>
          </rPr>
          <t>에</t>
        </r>
        <r>
          <rPr>
            <sz val="9"/>
            <color indexed="81"/>
            <rFont val="Tahoma"/>
            <family val="2"/>
          </rPr>
          <t xml:space="preserve"> diffuse FDG uptake", SUV </t>
        </r>
        <r>
          <rPr>
            <sz val="9"/>
            <color indexed="81"/>
            <rFont val="돋움"/>
            <family val="3"/>
            <charset val="129"/>
          </rPr>
          <t>값을</t>
        </r>
        <r>
          <rPr>
            <sz val="9"/>
            <color indexed="81"/>
            <rFont val="Tahoma"/>
            <family val="2"/>
          </rPr>
          <t xml:space="preserve"> </t>
        </r>
        <r>
          <rPr>
            <sz val="9"/>
            <color indexed="81"/>
            <rFont val="돋움"/>
            <family val="3"/>
            <charset val="129"/>
          </rPr>
          <t>평가하지</t>
        </r>
        <r>
          <rPr>
            <sz val="9"/>
            <color indexed="81"/>
            <rFont val="Tahoma"/>
            <family val="2"/>
          </rPr>
          <t xml:space="preserve"> </t>
        </r>
        <r>
          <rPr>
            <sz val="9"/>
            <color indexed="81"/>
            <rFont val="돋움"/>
            <family val="3"/>
            <charset val="129"/>
          </rPr>
          <t>않음</t>
        </r>
        <r>
          <rPr>
            <sz val="9"/>
            <color indexed="81"/>
            <rFont val="Tahoma"/>
            <family val="2"/>
          </rPr>
          <t>.</t>
        </r>
      </text>
    </comment>
    <comment ref="EV1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pancreas</t>
        </r>
      </text>
    </comment>
    <comment ref="BD1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CC19" authorId="1" shapeId="0">
      <text>
        <r>
          <rPr>
            <b/>
            <sz val="9"/>
            <color indexed="81"/>
            <rFont val="Tahoma"/>
            <family val="2"/>
          </rPr>
          <t>SNUH:</t>
        </r>
        <r>
          <rPr>
            <sz val="9"/>
            <color indexed="81"/>
            <rFont val="Tahoma"/>
            <family val="2"/>
          </rPr>
          <t xml:space="preserve">
o/s PET, </t>
        </r>
        <r>
          <rPr>
            <sz val="9"/>
            <color indexed="81"/>
            <rFont val="돋움"/>
            <family val="3"/>
            <charset val="129"/>
          </rPr>
          <t>외부</t>
        </r>
        <r>
          <rPr>
            <sz val="9"/>
            <color indexed="81"/>
            <rFont val="Tahoma"/>
            <family val="2"/>
          </rPr>
          <t xml:space="preserve"> </t>
        </r>
        <r>
          <rPr>
            <sz val="9"/>
            <color indexed="81"/>
            <rFont val="돋움"/>
            <family val="3"/>
            <charset val="129"/>
          </rPr>
          <t>판독지</t>
        </r>
        <r>
          <rPr>
            <sz val="9"/>
            <color indexed="81"/>
            <rFont val="Tahoma"/>
            <family val="2"/>
          </rPr>
          <t xml:space="preserve"> </t>
        </r>
        <r>
          <rPr>
            <sz val="9"/>
            <color indexed="81"/>
            <rFont val="돋움"/>
            <family val="3"/>
            <charset val="129"/>
          </rPr>
          <t>없음</t>
        </r>
      </text>
    </comment>
    <comment ref="AF2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SCL</t>
        </r>
      </text>
    </comment>
    <comment ref="BC2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위쪽</t>
        </r>
        <r>
          <rPr>
            <sz val="9"/>
            <color indexed="81"/>
            <rFont val="Tahoma"/>
            <family val="2"/>
          </rPr>
          <t xml:space="preserve"> </t>
        </r>
        <r>
          <rPr>
            <sz val="9"/>
            <color indexed="81"/>
            <rFont val="돋움"/>
            <family val="3"/>
            <charset val="129"/>
          </rPr>
          <t>부분이</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애매하기는</t>
        </r>
        <r>
          <rPr>
            <sz val="9"/>
            <color indexed="81"/>
            <rFont val="Tahoma"/>
            <family val="2"/>
          </rPr>
          <t xml:space="preserve"> </t>
        </r>
        <r>
          <rPr>
            <sz val="9"/>
            <color indexed="81"/>
            <rFont val="돋움"/>
            <family val="3"/>
            <charset val="129"/>
          </rPr>
          <t>하다</t>
        </r>
        <r>
          <rPr>
            <sz val="9"/>
            <color indexed="81"/>
            <rFont val="Tahoma"/>
            <family val="2"/>
          </rPr>
          <t>. Upper mediastinal LN</t>
        </r>
        <r>
          <rPr>
            <sz val="9"/>
            <color indexed="81"/>
            <rFont val="돋움"/>
            <family val="3"/>
            <charset val="129"/>
          </rPr>
          <t>의</t>
        </r>
        <r>
          <rPr>
            <sz val="9"/>
            <color indexed="81"/>
            <rFont val="Tahoma"/>
            <family val="2"/>
          </rPr>
          <t xml:space="preserve"> </t>
        </r>
        <r>
          <rPr>
            <sz val="9"/>
            <color indexed="81"/>
            <rFont val="돋움"/>
            <family val="3"/>
            <charset val="129"/>
          </rPr>
          <t>존재</t>
        </r>
        <r>
          <rPr>
            <sz val="9"/>
            <color indexed="81"/>
            <rFont val="Tahoma"/>
            <family val="2"/>
          </rPr>
          <t xml:space="preserve"> </t>
        </r>
        <r>
          <rPr>
            <sz val="9"/>
            <color indexed="81"/>
            <rFont val="돋움"/>
            <family val="3"/>
            <charset val="129"/>
          </rPr>
          <t>때문인데</t>
        </r>
        <r>
          <rPr>
            <sz val="9"/>
            <color indexed="81"/>
            <rFont val="Tahoma"/>
            <family val="2"/>
          </rPr>
          <t>, elective coverage</t>
        </r>
        <r>
          <rPr>
            <sz val="9"/>
            <color indexed="81"/>
            <rFont val="돋움"/>
            <family val="3"/>
            <charset val="129"/>
          </rPr>
          <t>는</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것으로</t>
        </r>
        <r>
          <rPr>
            <sz val="9"/>
            <color indexed="81"/>
            <rFont val="Tahoma"/>
            <family val="2"/>
          </rPr>
          <t xml:space="preserve"> </t>
        </r>
        <r>
          <rPr>
            <sz val="9"/>
            <color indexed="81"/>
            <rFont val="돋움"/>
            <family val="3"/>
            <charset val="129"/>
          </rPr>
          <t>판정을</t>
        </r>
        <r>
          <rPr>
            <sz val="9"/>
            <color indexed="81"/>
            <rFont val="Tahoma"/>
            <family val="2"/>
          </rPr>
          <t xml:space="preserve"> </t>
        </r>
        <r>
          <rPr>
            <sz val="9"/>
            <color indexed="81"/>
            <rFont val="돋움"/>
            <family val="3"/>
            <charset val="129"/>
          </rPr>
          <t>했었다</t>
        </r>
        <r>
          <rPr>
            <sz val="9"/>
            <color indexed="81"/>
            <rFont val="Tahoma"/>
            <family val="2"/>
          </rPr>
          <t>.</t>
        </r>
      </text>
    </comment>
    <comment ref="FD20" authorId="3" shapeId="0">
      <text>
        <r>
          <rPr>
            <b/>
            <sz val="10"/>
            <color rgb="FF000000"/>
            <rFont val="Malgun Gothic"/>
            <family val="2"/>
            <charset val="129"/>
          </rPr>
          <t>Tae Hoon Lee:</t>
        </r>
        <r>
          <rPr>
            <sz val="10"/>
            <color rgb="FF000000"/>
            <rFont val="Malgun Gothic"/>
            <family val="2"/>
            <charset val="129"/>
          </rPr>
          <t xml:space="preserve">
</t>
        </r>
        <r>
          <rPr>
            <sz val="10"/>
            <color rgb="FF000000"/>
            <rFont val="Malgun Gothic"/>
            <family val="2"/>
            <charset val="129"/>
          </rPr>
          <t>외국인</t>
        </r>
      </text>
    </comment>
    <comment ref="FU2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Balloon dilatation (2015/7/30)</t>
        </r>
      </text>
    </comment>
    <comment ref="H2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이전값</t>
        </r>
        <r>
          <rPr>
            <sz val="9"/>
            <color indexed="81"/>
            <rFont val="Tahoma"/>
            <family val="2"/>
          </rPr>
          <t xml:space="preserve">: papillary urothelial carcinoma, s/p Lt radical nephroureterectomy (2015/10/12)
--&gt; </t>
        </r>
        <r>
          <rPr>
            <sz val="9"/>
            <color indexed="81"/>
            <rFont val="돋움"/>
            <family val="3"/>
            <charset val="129"/>
          </rPr>
          <t>해당</t>
        </r>
        <r>
          <rPr>
            <sz val="9"/>
            <color indexed="81"/>
            <rFont val="Tahoma"/>
            <family val="2"/>
          </rPr>
          <t xml:space="preserve"> </t>
        </r>
        <r>
          <rPr>
            <sz val="9"/>
            <color indexed="81"/>
            <rFont val="돋움"/>
            <family val="3"/>
            <charset val="129"/>
          </rPr>
          <t>기록을</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없음</t>
        </r>
        <r>
          <rPr>
            <sz val="9"/>
            <color indexed="81"/>
            <rFont val="Tahoma"/>
            <family val="2"/>
          </rPr>
          <t>.</t>
        </r>
      </text>
    </comment>
    <comment ref="AN2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middle mediasitnum, carina</t>
        </r>
        <r>
          <rPr>
            <sz val="9"/>
            <color indexed="81"/>
            <rFont val="돋움"/>
            <family val="3"/>
            <charset val="129"/>
          </rPr>
          <t>까지</t>
        </r>
        <r>
          <rPr>
            <sz val="9"/>
            <color indexed="81"/>
            <rFont val="Tahoma"/>
            <family val="2"/>
          </rPr>
          <t>.</t>
        </r>
      </text>
    </comment>
    <comment ref="BD2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DV2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upper paratraceal</t>
        </r>
      </text>
    </comment>
    <comment ref="EH2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pall. FP #4 ('19.8.16~19.12.12)</t>
        </r>
      </text>
    </comment>
    <comment ref="EV2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pancreas</t>
        </r>
      </text>
    </comment>
    <comment ref="AN2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middle mediasitnum, carina</t>
        </r>
        <r>
          <rPr>
            <sz val="9"/>
            <color indexed="81"/>
            <rFont val="돋움"/>
            <family val="3"/>
            <charset val="129"/>
          </rPr>
          <t>까지</t>
        </r>
        <r>
          <rPr>
            <sz val="9"/>
            <color indexed="81"/>
            <rFont val="Tahoma"/>
            <family val="2"/>
          </rPr>
          <t>.</t>
        </r>
      </text>
    </comment>
    <comment ref="BD2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FW2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Esophagus stent d/t TEF (2014/4/8)</t>
        </r>
      </text>
    </comment>
    <comment ref="CD24" authorId="1" shapeId="0">
      <text>
        <r>
          <rPr>
            <b/>
            <sz val="9"/>
            <color indexed="81"/>
            <rFont val="Tahoma"/>
            <family val="2"/>
          </rPr>
          <t>SNUH:</t>
        </r>
        <r>
          <rPr>
            <sz val="9"/>
            <color indexed="81"/>
            <rFont val="Tahoma"/>
            <family val="2"/>
          </rPr>
          <t xml:space="preserve">
"Decreased extent &amp; SUV of hypermetabolic lesion in the mid thoracic esophagus", </t>
        </r>
        <r>
          <rPr>
            <sz val="9"/>
            <color indexed="81"/>
            <rFont val="돋움"/>
            <family val="3"/>
            <charset val="129"/>
          </rPr>
          <t>그런데</t>
        </r>
        <r>
          <rPr>
            <sz val="9"/>
            <color indexed="81"/>
            <rFont val="Tahoma"/>
            <family val="2"/>
          </rPr>
          <t xml:space="preserve"> mSUV</t>
        </r>
        <r>
          <rPr>
            <sz val="9"/>
            <color indexed="81"/>
            <rFont val="돋움"/>
            <family val="3"/>
            <charset val="129"/>
          </rPr>
          <t>를</t>
        </r>
        <r>
          <rPr>
            <sz val="9"/>
            <color indexed="81"/>
            <rFont val="Tahoma"/>
            <family val="2"/>
          </rPr>
          <t xml:space="preserve"> </t>
        </r>
        <r>
          <rPr>
            <sz val="9"/>
            <color indexed="81"/>
            <rFont val="돋움"/>
            <family val="3"/>
            <charset val="129"/>
          </rPr>
          <t>명시하지</t>
        </r>
        <r>
          <rPr>
            <sz val="9"/>
            <color indexed="81"/>
            <rFont val="Tahoma"/>
            <family val="2"/>
          </rPr>
          <t xml:space="preserve"> </t>
        </r>
        <r>
          <rPr>
            <sz val="9"/>
            <color indexed="81"/>
            <rFont val="돋움"/>
            <family val="3"/>
            <charset val="129"/>
          </rPr>
          <t>않음</t>
        </r>
      </text>
    </comment>
    <comment ref="DI2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DP #3 ('14.4.24-'14.6.9)</t>
        </r>
      </text>
    </comment>
    <comment ref="AU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superior 2cm, inferior 4cm.</t>
        </r>
      </text>
    </comment>
    <comment ref="AV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일단</t>
        </r>
        <r>
          <rPr>
            <sz val="9"/>
            <color indexed="81"/>
            <rFont val="Tahoma"/>
            <family val="2"/>
          </rPr>
          <t xml:space="preserve"> </t>
        </r>
        <r>
          <rPr>
            <sz val="9"/>
            <color indexed="81"/>
            <rFont val="돋움"/>
            <family val="3"/>
            <charset val="129"/>
          </rPr>
          <t>기록</t>
        </r>
        <r>
          <rPr>
            <sz val="9"/>
            <color indexed="81"/>
            <rFont val="Tahoma"/>
            <family val="2"/>
          </rPr>
          <t xml:space="preserve"> </t>
        </r>
        <r>
          <rPr>
            <sz val="9"/>
            <color indexed="81"/>
            <rFont val="돋움"/>
            <family val="3"/>
            <charset val="129"/>
          </rPr>
          <t>상으로는</t>
        </r>
        <r>
          <rPr>
            <sz val="9"/>
            <color indexed="81"/>
            <rFont val="Tahoma"/>
            <family val="2"/>
          </rPr>
          <t xml:space="preserve"> </t>
        </r>
        <r>
          <rPr>
            <sz val="9"/>
            <color indexed="81"/>
            <rFont val="돋움"/>
            <family val="3"/>
            <charset val="129"/>
          </rPr>
          <t>정말로</t>
        </r>
        <r>
          <rPr>
            <sz val="9"/>
            <color indexed="81"/>
            <rFont val="Tahoma"/>
            <family val="2"/>
          </rPr>
          <t xml:space="preserve"> </t>
        </r>
        <r>
          <rPr>
            <sz val="9"/>
            <color indexed="81"/>
            <rFont val="돋움"/>
            <family val="3"/>
            <charset val="129"/>
          </rPr>
          <t>이렇게</t>
        </r>
        <r>
          <rPr>
            <sz val="9"/>
            <color indexed="81"/>
            <rFont val="Tahoma"/>
            <family val="2"/>
          </rPr>
          <t xml:space="preserve"> </t>
        </r>
        <r>
          <rPr>
            <sz val="9"/>
            <color indexed="81"/>
            <rFont val="돋움"/>
            <family val="3"/>
            <charset val="129"/>
          </rPr>
          <t>되어있기는</t>
        </r>
        <r>
          <rPr>
            <sz val="9"/>
            <color indexed="81"/>
            <rFont val="Tahoma"/>
            <family val="2"/>
          </rPr>
          <t xml:space="preserve"> </t>
        </r>
        <r>
          <rPr>
            <sz val="9"/>
            <color indexed="81"/>
            <rFont val="돋움"/>
            <family val="3"/>
            <charset val="129"/>
          </rPr>
          <t>하다</t>
        </r>
        <r>
          <rPr>
            <sz val="9"/>
            <color indexed="81"/>
            <rFont val="Tahoma"/>
            <family val="2"/>
          </rPr>
          <t>...</t>
        </r>
      </text>
    </comment>
    <comment ref="BC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hypopharynx</t>
        </r>
        <r>
          <rPr>
            <sz val="9"/>
            <color indexed="81"/>
            <rFont val="돋움"/>
            <family val="3"/>
            <charset val="129"/>
          </rPr>
          <t>에</t>
        </r>
        <r>
          <rPr>
            <sz val="9"/>
            <color indexed="81"/>
            <rFont val="Tahoma"/>
            <family val="2"/>
          </rPr>
          <t xml:space="preserve"> </t>
        </r>
        <r>
          <rPr>
            <sz val="9"/>
            <color indexed="81"/>
            <rFont val="돋움"/>
            <family val="3"/>
            <charset val="129"/>
          </rPr>
          <t>닿음</t>
        </r>
        <r>
          <rPr>
            <sz val="9"/>
            <color indexed="81"/>
            <rFont val="Tahoma"/>
            <family val="2"/>
          </rPr>
          <t>.</t>
        </r>
      </text>
    </comment>
    <comment ref="CD25" authorId="1" shapeId="0">
      <text>
        <r>
          <rPr>
            <b/>
            <sz val="9"/>
            <color indexed="81"/>
            <rFont val="Tahoma"/>
            <family val="2"/>
          </rPr>
          <t>SNUH:</t>
        </r>
        <r>
          <rPr>
            <sz val="9"/>
            <color indexed="81"/>
            <rFont val="Tahoma"/>
            <family val="2"/>
          </rPr>
          <t xml:space="preserve">
"Significant abnormal focal hypermetabolic lesions or nodes were not detected"</t>
        </r>
      </text>
    </comment>
    <comment ref="DL25" authorId="1" shapeId="0">
      <text>
        <r>
          <rPr>
            <b/>
            <sz val="9"/>
            <color indexed="81"/>
            <rFont val="Tahoma"/>
            <family val="2"/>
          </rPr>
          <t>SNUH:</t>
        </r>
        <r>
          <rPr>
            <sz val="9"/>
            <color indexed="81"/>
            <rFont val="Tahoma"/>
            <family val="2"/>
          </rPr>
          <t xml:space="preserve">
s/p 2014-04-17 McKeown Op. 
     s/p 2014-04-24 neck wound exploration d/t anastomotic leakage 
     s/p 2014-12-12 VATS assisted adhesiolysis, bronchogastric fistulectomy, Lt. main bronchus patch repair with pedicled pericardium, gastric conduit takedown, cervical esophagostomy, serratus ant. flap preparing (co-op with PS. 김병준) d/t bronchogastric fistula, 
     s/p 2015-01-09 colon interposition (colon preparation via laparotomy, substernal route, Lt. partial sternectomy, cervical esophagocolostomy, colojejunostomy, colocolostomy) 
     # surgical wound dehiscence 
     s/p 2015-01-15 cervical wound exploration, irrigation &amp; debridement 
     s/p wound irrigation &amp; VAC apply #10 (2015.01.19-2015.02.14) 
     s/p ballooning ( 16.5.12) </t>
        </r>
      </text>
    </comment>
    <comment ref="FU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Balloon dilatation (2015/8/26, 8/25)</t>
        </r>
      </text>
    </comment>
    <comment ref="FW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bronchoesophageal fistula</t>
        </r>
        <r>
          <rPr>
            <sz val="9"/>
            <color indexed="81"/>
            <rFont val="돋움"/>
            <family val="3"/>
            <charset val="129"/>
          </rPr>
          <t>로</t>
        </r>
        <r>
          <rPr>
            <sz val="9"/>
            <color indexed="81"/>
            <rFont val="Tahoma"/>
            <family val="2"/>
          </rPr>
          <t xml:space="preserve"> wound irrigation</t>
        </r>
        <r>
          <rPr>
            <sz val="9"/>
            <color indexed="81"/>
            <rFont val="돋움"/>
            <family val="3"/>
            <charset val="129"/>
          </rPr>
          <t>을</t>
        </r>
        <r>
          <rPr>
            <sz val="9"/>
            <color indexed="81"/>
            <rFont val="Tahoma"/>
            <family val="2"/>
          </rPr>
          <t xml:space="preserve"> 2015</t>
        </r>
        <r>
          <rPr>
            <sz val="9"/>
            <color indexed="81"/>
            <rFont val="돋움"/>
            <family val="3"/>
            <charset val="129"/>
          </rPr>
          <t>년에</t>
        </r>
        <r>
          <rPr>
            <sz val="9"/>
            <color indexed="81"/>
            <rFont val="Tahoma"/>
            <family val="2"/>
          </rPr>
          <t xml:space="preserve"> </t>
        </r>
        <r>
          <rPr>
            <sz val="9"/>
            <color indexed="81"/>
            <rFont val="돋움"/>
            <family val="3"/>
            <charset val="129"/>
          </rPr>
          <t>수차례</t>
        </r>
        <r>
          <rPr>
            <sz val="9"/>
            <color indexed="81"/>
            <rFont val="Tahoma"/>
            <family val="2"/>
          </rPr>
          <t xml:space="preserve"> </t>
        </r>
        <r>
          <rPr>
            <sz val="9"/>
            <color indexed="81"/>
            <rFont val="돋움"/>
            <family val="3"/>
            <charset val="129"/>
          </rPr>
          <t>실시함</t>
        </r>
        <r>
          <rPr>
            <sz val="9"/>
            <color indexed="81"/>
            <rFont val="Tahoma"/>
            <family val="2"/>
          </rPr>
          <t>.</t>
        </r>
      </text>
    </comment>
    <comment ref="BC2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중간에</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곳</t>
        </r>
        <r>
          <rPr>
            <sz val="9"/>
            <color indexed="81"/>
            <rFont val="Tahoma"/>
            <family val="2"/>
          </rPr>
          <t xml:space="preserve"> </t>
        </r>
        <r>
          <rPr>
            <sz val="9"/>
            <color indexed="81"/>
            <rFont val="돋움"/>
            <family val="3"/>
            <charset val="129"/>
          </rPr>
          <t>있음</t>
        </r>
      </text>
    </comment>
    <comment ref="BD2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
</t>
        </r>
        <r>
          <rPr>
            <sz val="9"/>
            <color indexed="81"/>
            <rFont val="돋움"/>
            <family val="3"/>
            <charset val="129"/>
          </rPr>
          <t>정의상</t>
        </r>
        <r>
          <rPr>
            <sz val="9"/>
            <color indexed="81"/>
            <rFont val="Tahoma"/>
            <family val="2"/>
          </rPr>
          <t xml:space="preserve"> 2cm</t>
        </r>
        <r>
          <rPr>
            <sz val="9"/>
            <color indexed="81"/>
            <rFont val="돋움"/>
            <family val="3"/>
            <charset val="129"/>
          </rPr>
          <t>이나</t>
        </r>
        <r>
          <rPr>
            <sz val="9"/>
            <color indexed="81"/>
            <rFont val="Tahoma"/>
            <family val="2"/>
          </rPr>
          <t xml:space="preserve"> axial cut thickness</t>
        </r>
        <r>
          <rPr>
            <sz val="9"/>
            <color indexed="81"/>
            <rFont val="돋움"/>
            <family val="3"/>
            <charset val="129"/>
          </rPr>
          <t>로</t>
        </r>
        <r>
          <rPr>
            <sz val="9"/>
            <color indexed="81"/>
            <rFont val="Tahoma"/>
            <family val="2"/>
          </rPr>
          <t xml:space="preserve"> 2.1 </t>
        </r>
        <r>
          <rPr>
            <sz val="9"/>
            <color indexed="81"/>
            <rFont val="돋움"/>
            <family val="3"/>
            <charset val="129"/>
          </rPr>
          <t>나오면</t>
        </r>
        <r>
          <rPr>
            <sz val="9"/>
            <color indexed="81"/>
            <rFont val="Tahoma"/>
            <family val="2"/>
          </rPr>
          <t xml:space="preserve"> </t>
        </r>
        <r>
          <rPr>
            <sz val="9"/>
            <color indexed="81"/>
            <rFont val="돋움"/>
            <family val="3"/>
            <charset val="129"/>
          </rPr>
          <t>그냥</t>
        </r>
        <r>
          <rPr>
            <sz val="9"/>
            <color indexed="81"/>
            <rFont val="Tahoma"/>
            <family val="2"/>
          </rPr>
          <t xml:space="preserve"> 2</t>
        </r>
        <r>
          <rPr>
            <sz val="9"/>
            <color indexed="81"/>
            <rFont val="돋움"/>
            <family val="3"/>
            <charset val="129"/>
          </rPr>
          <t>로</t>
        </r>
        <r>
          <rPr>
            <sz val="9"/>
            <color indexed="81"/>
            <rFont val="Tahoma"/>
            <family val="2"/>
          </rPr>
          <t xml:space="preserve"> </t>
        </r>
        <r>
          <rPr>
            <sz val="9"/>
            <color indexed="81"/>
            <rFont val="돋움"/>
            <family val="3"/>
            <charset val="129"/>
          </rPr>
          <t>간주함</t>
        </r>
        <r>
          <rPr>
            <sz val="9"/>
            <color indexed="81"/>
            <rFont val="Tahoma"/>
            <family val="2"/>
          </rPr>
          <t>.</t>
        </r>
      </text>
    </comment>
    <comment ref="CD26" authorId="1" shapeId="0">
      <text>
        <r>
          <rPr>
            <b/>
            <sz val="9"/>
            <color indexed="81"/>
            <rFont val="Tahoma"/>
            <family val="2"/>
          </rPr>
          <t>SNUH:</t>
        </r>
        <r>
          <rPr>
            <sz val="9"/>
            <color indexed="81"/>
            <rFont val="Tahoma"/>
            <family val="2"/>
          </rPr>
          <t xml:space="preserve">
Viable disease </t>
        </r>
        <r>
          <rPr>
            <sz val="9"/>
            <color indexed="81"/>
            <rFont val="돋움"/>
            <family val="3"/>
            <charset val="129"/>
          </rPr>
          <t>보다는</t>
        </r>
        <r>
          <rPr>
            <sz val="9"/>
            <color indexed="81"/>
            <rFont val="Tahoma"/>
            <family val="2"/>
          </rPr>
          <t xml:space="preserve"> inflammation </t>
        </r>
        <r>
          <rPr>
            <sz val="9"/>
            <color indexed="81"/>
            <rFont val="돋움"/>
            <family val="3"/>
            <charset val="129"/>
          </rPr>
          <t>탓으로</t>
        </r>
        <r>
          <rPr>
            <sz val="9"/>
            <color indexed="81"/>
            <rFont val="Tahoma"/>
            <family val="2"/>
          </rPr>
          <t xml:space="preserve"> </t>
        </r>
        <r>
          <rPr>
            <sz val="9"/>
            <color indexed="81"/>
            <rFont val="돋움"/>
            <family val="3"/>
            <charset val="129"/>
          </rPr>
          <t>보고</t>
        </r>
        <r>
          <rPr>
            <sz val="9"/>
            <color indexed="81"/>
            <rFont val="Tahoma"/>
            <family val="2"/>
          </rPr>
          <t xml:space="preserve"> </t>
        </r>
        <r>
          <rPr>
            <sz val="9"/>
            <color indexed="81"/>
            <rFont val="돋움"/>
            <family val="3"/>
            <charset val="129"/>
          </rPr>
          <t>있다</t>
        </r>
        <r>
          <rPr>
            <sz val="9"/>
            <color indexed="81"/>
            <rFont val="Tahoma"/>
            <family val="2"/>
          </rPr>
          <t>.</t>
        </r>
      </text>
    </comment>
    <comment ref="FU2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2014/9/28 neck CT </t>
        </r>
        <r>
          <rPr>
            <sz val="9"/>
            <color indexed="81"/>
            <rFont val="돋움"/>
            <family val="3"/>
            <charset val="129"/>
          </rPr>
          <t>상에서</t>
        </r>
        <r>
          <rPr>
            <sz val="9"/>
            <color indexed="81"/>
            <rFont val="Tahoma"/>
            <family val="2"/>
          </rPr>
          <t xml:space="preserve"> r/o benign stricture </t>
        </r>
        <r>
          <rPr>
            <sz val="9"/>
            <color indexed="81"/>
            <rFont val="돋움"/>
            <family val="3"/>
            <charset val="129"/>
          </rPr>
          <t>소견이</t>
        </r>
        <r>
          <rPr>
            <sz val="9"/>
            <color indexed="81"/>
            <rFont val="Tahoma"/>
            <family val="2"/>
          </rPr>
          <t xml:space="preserve"> </t>
        </r>
        <r>
          <rPr>
            <sz val="9"/>
            <color indexed="81"/>
            <rFont val="돋움"/>
            <family val="3"/>
            <charset val="129"/>
          </rPr>
          <t>있다고는</t>
        </r>
        <r>
          <rPr>
            <sz val="9"/>
            <color indexed="81"/>
            <rFont val="Tahoma"/>
            <family val="2"/>
          </rPr>
          <t xml:space="preserve"> </t>
        </r>
        <r>
          <rPr>
            <sz val="9"/>
            <color indexed="81"/>
            <rFont val="돋움"/>
            <family val="3"/>
            <charset val="129"/>
          </rPr>
          <t>하는데</t>
        </r>
        <r>
          <rPr>
            <sz val="9"/>
            <color indexed="81"/>
            <rFont val="Tahoma"/>
            <family val="2"/>
          </rPr>
          <t>, EGD</t>
        </r>
        <r>
          <rPr>
            <sz val="9"/>
            <color indexed="81"/>
            <rFont val="돋움"/>
            <family val="3"/>
            <charset val="129"/>
          </rPr>
          <t>를</t>
        </r>
        <r>
          <rPr>
            <sz val="9"/>
            <color indexed="81"/>
            <rFont val="Tahoma"/>
            <family val="2"/>
          </rPr>
          <t xml:space="preserve"> </t>
        </r>
        <r>
          <rPr>
            <sz val="9"/>
            <color indexed="81"/>
            <rFont val="돋움"/>
            <family val="3"/>
            <charset val="129"/>
          </rPr>
          <t>안해서</t>
        </r>
        <r>
          <rPr>
            <sz val="9"/>
            <color indexed="81"/>
            <rFont val="Tahoma"/>
            <family val="2"/>
          </rPr>
          <t xml:space="preserve"> </t>
        </r>
        <r>
          <rPr>
            <sz val="9"/>
            <color indexed="81"/>
            <rFont val="돋움"/>
            <family val="3"/>
            <charset val="129"/>
          </rPr>
          <t>확실하게는</t>
        </r>
        <r>
          <rPr>
            <sz val="9"/>
            <color indexed="81"/>
            <rFont val="Tahoma"/>
            <family val="2"/>
          </rPr>
          <t xml:space="preserve"> </t>
        </r>
        <r>
          <rPr>
            <sz val="9"/>
            <color indexed="81"/>
            <rFont val="돋움"/>
            <family val="3"/>
            <charset val="129"/>
          </rPr>
          <t>안보인다</t>
        </r>
        <r>
          <rPr>
            <sz val="9"/>
            <color indexed="81"/>
            <rFont val="Tahoma"/>
            <family val="2"/>
          </rPr>
          <t>.</t>
        </r>
      </text>
    </comment>
    <comment ref="AN2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uppermost mediastinum… </t>
        </r>
        <r>
          <rPr>
            <sz val="9"/>
            <color indexed="81"/>
            <rFont val="돋움"/>
            <family val="3"/>
            <charset val="129"/>
          </rPr>
          <t>다만</t>
        </r>
        <r>
          <rPr>
            <sz val="9"/>
            <color indexed="81"/>
            <rFont val="Tahoma"/>
            <family val="2"/>
          </rPr>
          <t xml:space="preserve"> </t>
        </r>
        <r>
          <rPr>
            <sz val="9"/>
            <color indexed="81"/>
            <rFont val="돋움"/>
            <family val="3"/>
            <charset val="129"/>
          </rPr>
          <t>기존에</t>
        </r>
        <r>
          <rPr>
            <sz val="9"/>
            <color indexed="81"/>
            <rFont val="Tahoma"/>
            <family val="2"/>
          </rPr>
          <t xml:space="preserve"> Rt SCL invovlement </t>
        </r>
        <r>
          <rPr>
            <sz val="9"/>
            <color indexed="81"/>
            <rFont val="돋움"/>
            <family val="3"/>
            <charset val="129"/>
          </rPr>
          <t>있었다는</t>
        </r>
        <r>
          <rPr>
            <sz val="9"/>
            <color indexed="81"/>
            <rFont val="Tahoma"/>
            <family val="2"/>
          </rPr>
          <t xml:space="preserve"> </t>
        </r>
        <r>
          <rPr>
            <sz val="9"/>
            <color indexed="81"/>
            <rFont val="돋움"/>
            <family val="3"/>
            <charset val="129"/>
          </rPr>
          <t>점은</t>
        </r>
        <r>
          <rPr>
            <sz val="9"/>
            <color indexed="81"/>
            <rFont val="Tahoma"/>
            <family val="2"/>
          </rPr>
          <t xml:space="preserve"> </t>
        </r>
        <r>
          <rPr>
            <sz val="9"/>
            <color indexed="81"/>
            <rFont val="돋움"/>
            <family val="3"/>
            <charset val="129"/>
          </rPr>
          <t>고려</t>
        </r>
      </text>
    </comment>
    <comment ref="AO2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SCL</t>
        </r>
        <r>
          <rPr>
            <sz val="9"/>
            <color indexed="81"/>
            <rFont val="돋움"/>
            <family val="3"/>
            <charset val="129"/>
          </rPr>
          <t>에</t>
        </r>
        <r>
          <rPr>
            <sz val="9"/>
            <color indexed="81"/>
            <rFont val="Tahoma"/>
            <family val="2"/>
          </rPr>
          <t xml:space="preserve"> </t>
        </r>
        <r>
          <rPr>
            <sz val="9"/>
            <color indexed="81"/>
            <rFont val="돋움"/>
            <family val="3"/>
            <charset val="129"/>
          </rPr>
          <t>대해서</t>
        </r>
        <r>
          <rPr>
            <sz val="9"/>
            <color indexed="81"/>
            <rFont val="Tahoma"/>
            <family val="2"/>
          </rPr>
          <t>. (Rt.</t>
        </r>
        <r>
          <rPr>
            <sz val="9"/>
            <color indexed="81"/>
            <rFont val="돋움"/>
            <family val="3"/>
            <charset val="129"/>
          </rPr>
          <t>는</t>
        </r>
        <r>
          <rPr>
            <sz val="9"/>
            <color indexed="81"/>
            <rFont val="Tahoma"/>
            <family val="2"/>
          </rPr>
          <t xml:space="preserve"> </t>
        </r>
        <r>
          <rPr>
            <sz val="9"/>
            <color indexed="81"/>
            <rFont val="돋움"/>
            <family val="3"/>
            <charset val="129"/>
          </rPr>
          <t>기존에</t>
        </r>
        <r>
          <rPr>
            <sz val="9"/>
            <color indexed="81"/>
            <rFont val="Tahoma"/>
            <family val="2"/>
          </rPr>
          <t xml:space="preserve"> involvement</t>
        </r>
        <r>
          <rPr>
            <sz val="9"/>
            <color indexed="81"/>
            <rFont val="돋움"/>
            <family val="3"/>
            <charset val="129"/>
          </rPr>
          <t>가</t>
        </r>
        <r>
          <rPr>
            <sz val="9"/>
            <color indexed="81"/>
            <rFont val="Tahoma"/>
            <family val="2"/>
          </rPr>
          <t xml:space="preserve"> </t>
        </r>
        <r>
          <rPr>
            <sz val="9"/>
            <color indexed="81"/>
            <rFont val="돋움"/>
            <family val="3"/>
            <charset val="129"/>
          </rPr>
          <t>있었고</t>
        </r>
        <r>
          <rPr>
            <sz val="9"/>
            <color indexed="81"/>
            <rFont val="Tahoma"/>
            <family val="2"/>
          </rPr>
          <t>.)</t>
        </r>
      </text>
    </comment>
    <comment ref="AU2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기술이</t>
        </r>
        <r>
          <rPr>
            <sz val="9"/>
            <color indexed="81"/>
            <rFont val="Tahoma"/>
            <family val="2"/>
          </rPr>
          <t xml:space="preserve"> </t>
        </r>
        <r>
          <rPr>
            <sz val="9"/>
            <color indexed="81"/>
            <rFont val="돋움"/>
            <family val="3"/>
            <charset val="129"/>
          </rPr>
          <t>누락된</t>
        </r>
        <r>
          <rPr>
            <sz val="9"/>
            <color indexed="81"/>
            <rFont val="Tahoma"/>
            <family val="2"/>
          </rPr>
          <t xml:space="preserve"> </t>
        </r>
        <r>
          <rPr>
            <sz val="9"/>
            <color indexed="81"/>
            <rFont val="돋움"/>
            <family val="3"/>
            <charset val="129"/>
          </rPr>
          <t>환자인데</t>
        </r>
        <r>
          <rPr>
            <sz val="9"/>
            <color indexed="81"/>
            <rFont val="Tahoma"/>
            <family val="2"/>
          </rPr>
          <t>… inferior 2cm</t>
        </r>
        <r>
          <rPr>
            <sz val="9"/>
            <color indexed="81"/>
            <rFont val="돋움"/>
            <family val="3"/>
            <charset val="129"/>
          </rPr>
          <t>이더라</t>
        </r>
        <r>
          <rPr>
            <sz val="9"/>
            <color indexed="81"/>
            <rFont val="Tahoma"/>
            <family val="2"/>
          </rPr>
          <t>? Superior</t>
        </r>
        <r>
          <rPr>
            <sz val="9"/>
            <color indexed="81"/>
            <rFont val="돋움"/>
            <family val="3"/>
            <charset val="129"/>
          </rPr>
          <t>은</t>
        </r>
        <r>
          <rPr>
            <sz val="9"/>
            <color indexed="81"/>
            <rFont val="Tahoma"/>
            <family val="2"/>
          </rPr>
          <t xml:space="preserve"> </t>
        </r>
        <r>
          <rPr>
            <sz val="9"/>
            <color indexed="81"/>
            <rFont val="돋움"/>
            <family val="3"/>
            <charset val="129"/>
          </rPr>
          <t>명확하지</t>
        </r>
        <r>
          <rPr>
            <sz val="9"/>
            <color indexed="81"/>
            <rFont val="Tahoma"/>
            <family val="2"/>
          </rPr>
          <t xml:space="preserve"> </t>
        </r>
        <r>
          <rPr>
            <sz val="9"/>
            <color indexed="81"/>
            <rFont val="돋움"/>
            <family val="3"/>
            <charset val="129"/>
          </rPr>
          <t>않음</t>
        </r>
        <r>
          <rPr>
            <sz val="9"/>
            <color indexed="81"/>
            <rFont val="Tahoma"/>
            <family val="2"/>
          </rPr>
          <t>.</t>
        </r>
      </text>
    </comment>
    <comment ref="CC27" authorId="1" shapeId="0">
      <text>
        <r>
          <rPr>
            <b/>
            <sz val="9"/>
            <color indexed="81"/>
            <rFont val="Tahoma"/>
            <family val="2"/>
          </rPr>
          <t>SNUH:</t>
        </r>
        <r>
          <rPr>
            <sz val="9"/>
            <color indexed="81"/>
            <rFont val="Tahoma"/>
            <family val="2"/>
          </rPr>
          <t xml:space="preserve">
o/s PET, </t>
        </r>
        <r>
          <rPr>
            <sz val="9"/>
            <color indexed="81"/>
            <rFont val="돋움"/>
            <family val="3"/>
            <charset val="129"/>
          </rPr>
          <t>기록지</t>
        </r>
        <r>
          <rPr>
            <sz val="9"/>
            <color indexed="81"/>
            <rFont val="Tahoma"/>
            <family val="2"/>
          </rPr>
          <t xml:space="preserve"> </t>
        </r>
        <r>
          <rPr>
            <sz val="9"/>
            <color indexed="81"/>
            <rFont val="돋움"/>
            <family val="3"/>
            <charset val="129"/>
          </rPr>
          <t>없음</t>
        </r>
      </text>
    </comment>
    <comment ref="CV2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radial</t>
        </r>
      </text>
    </comment>
    <comment ref="DQ2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Conglomated LN</t>
        </r>
        <r>
          <rPr>
            <sz val="9"/>
            <color indexed="81"/>
            <rFont val="돋움"/>
            <family val="3"/>
            <charset val="129"/>
          </rPr>
          <t>인지</t>
        </r>
        <r>
          <rPr>
            <sz val="9"/>
            <color indexed="81"/>
            <rFont val="Tahoma"/>
            <family val="2"/>
          </rPr>
          <t xml:space="preserve"> local recurrence</t>
        </r>
        <r>
          <rPr>
            <sz val="9"/>
            <color indexed="81"/>
            <rFont val="돋움"/>
            <family val="3"/>
            <charset val="129"/>
          </rPr>
          <t>인지는</t>
        </r>
        <r>
          <rPr>
            <sz val="9"/>
            <color indexed="81"/>
            <rFont val="Tahoma"/>
            <family val="2"/>
          </rPr>
          <t xml:space="preserve"> </t>
        </r>
        <r>
          <rPr>
            <sz val="9"/>
            <color indexed="81"/>
            <rFont val="돋움"/>
            <family val="3"/>
            <charset val="129"/>
          </rPr>
          <t>확실하지</t>
        </r>
        <r>
          <rPr>
            <sz val="9"/>
            <color indexed="81"/>
            <rFont val="Tahoma"/>
            <family val="2"/>
          </rPr>
          <t xml:space="preserve"> </t>
        </r>
        <r>
          <rPr>
            <sz val="9"/>
            <color indexed="81"/>
            <rFont val="돋움"/>
            <family val="3"/>
            <charset val="129"/>
          </rPr>
          <t>않음</t>
        </r>
        <r>
          <rPr>
            <sz val="9"/>
            <color indexed="81"/>
            <rFont val="Tahoma"/>
            <family val="2"/>
          </rPr>
          <t>.</t>
        </r>
      </text>
    </comment>
    <comment ref="FU2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Bougienage for esophageal stenosis (2015/4)</t>
        </r>
      </text>
    </comment>
    <comment ref="AU2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superior 2cm, inferior 4cm</t>
        </r>
      </text>
    </comment>
    <comment ref="FU2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s/p ballooning (2018/10/29)</t>
        </r>
      </text>
    </comment>
    <comment ref="AF2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기존값</t>
        </r>
        <r>
          <rPr>
            <sz val="9"/>
            <color indexed="81"/>
            <rFont val="Tahoma"/>
            <family val="2"/>
          </rPr>
          <t xml:space="preserve"> 1. celiac axis lymph node</t>
        </r>
        <r>
          <rPr>
            <sz val="9"/>
            <color indexed="81"/>
            <rFont val="돋움"/>
            <family val="3"/>
            <charset val="129"/>
          </rPr>
          <t>는</t>
        </r>
        <r>
          <rPr>
            <sz val="9"/>
            <color indexed="81"/>
            <rFont val="Tahoma"/>
            <family val="2"/>
          </rPr>
          <t xml:space="preserve"> AJCC 8</t>
        </r>
        <r>
          <rPr>
            <sz val="9"/>
            <color indexed="81"/>
            <rFont val="돋움"/>
            <family val="3"/>
            <charset val="129"/>
          </rPr>
          <t>판에서</t>
        </r>
        <r>
          <rPr>
            <sz val="9"/>
            <color indexed="81"/>
            <rFont val="Tahoma"/>
            <family val="2"/>
          </rPr>
          <t xml:space="preserve"> regional</t>
        </r>
        <r>
          <rPr>
            <sz val="9"/>
            <color indexed="81"/>
            <rFont val="돋움"/>
            <family val="3"/>
            <charset val="129"/>
          </rPr>
          <t>로</t>
        </r>
        <r>
          <rPr>
            <sz val="9"/>
            <color indexed="81"/>
            <rFont val="Tahoma"/>
            <family val="2"/>
          </rPr>
          <t xml:space="preserve"> </t>
        </r>
        <r>
          <rPr>
            <sz val="9"/>
            <color indexed="81"/>
            <rFont val="돋움"/>
            <family val="3"/>
            <charset val="129"/>
          </rPr>
          <t>변경되었다</t>
        </r>
        <r>
          <rPr>
            <sz val="9"/>
            <color indexed="81"/>
            <rFont val="Tahoma"/>
            <family val="2"/>
          </rPr>
          <t>.</t>
        </r>
      </text>
    </comment>
    <comment ref="AN29" authorId="0" shapeId="0">
      <text>
        <r>
          <rPr>
            <b/>
            <sz val="9"/>
            <color indexed="81"/>
            <rFont val="Tahoma"/>
            <family val="2"/>
          </rPr>
          <t xml:space="preserve">Windows </t>
        </r>
        <r>
          <rPr>
            <b/>
            <sz val="9"/>
            <color indexed="81"/>
            <rFont val="돋움"/>
            <family val="3"/>
            <charset val="129"/>
          </rPr>
          <t>사용자</t>
        </r>
        <r>
          <rPr>
            <b/>
            <sz val="9"/>
            <color indexed="81"/>
            <rFont val="Tahoma"/>
            <family val="2"/>
          </rPr>
          <t xml:space="preserve">:
</t>
        </r>
        <r>
          <rPr>
            <sz val="9"/>
            <color indexed="81"/>
            <rFont val="Tahoma"/>
            <family val="2"/>
          </rPr>
          <t xml:space="preserve">upper mediastinum, </t>
        </r>
        <r>
          <rPr>
            <sz val="9"/>
            <color indexed="81"/>
            <rFont val="돋움"/>
            <family val="3"/>
            <charset val="129"/>
          </rPr>
          <t>하지만</t>
        </r>
        <r>
          <rPr>
            <sz val="9"/>
            <color indexed="81"/>
            <rFont val="Tahoma"/>
            <family val="2"/>
          </rPr>
          <t xml:space="preserve"> uppermost mediastinal LN metastasis</t>
        </r>
        <r>
          <rPr>
            <sz val="9"/>
            <color indexed="81"/>
            <rFont val="돋움"/>
            <family val="3"/>
            <charset val="129"/>
          </rPr>
          <t>가</t>
        </r>
        <r>
          <rPr>
            <sz val="9"/>
            <color indexed="81"/>
            <rFont val="Tahoma"/>
            <family val="2"/>
          </rPr>
          <t xml:space="preserve"> </t>
        </r>
        <r>
          <rPr>
            <sz val="9"/>
            <color indexed="81"/>
            <rFont val="돋움"/>
            <family val="3"/>
            <charset val="129"/>
          </rPr>
          <t>있었던</t>
        </r>
        <r>
          <rPr>
            <sz val="9"/>
            <color indexed="81"/>
            <rFont val="Tahoma"/>
            <family val="2"/>
          </rPr>
          <t xml:space="preserve"> </t>
        </r>
        <r>
          <rPr>
            <sz val="9"/>
            <color indexed="81"/>
            <rFont val="돋움"/>
            <family val="3"/>
            <charset val="129"/>
          </rPr>
          <t>점은</t>
        </r>
        <r>
          <rPr>
            <sz val="9"/>
            <color indexed="81"/>
            <rFont val="Tahoma"/>
            <family val="2"/>
          </rPr>
          <t xml:space="preserve"> </t>
        </r>
        <r>
          <rPr>
            <sz val="9"/>
            <color indexed="81"/>
            <rFont val="돋움"/>
            <family val="3"/>
            <charset val="129"/>
          </rPr>
          <t>있다</t>
        </r>
        <r>
          <rPr>
            <sz val="9"/>
            <color indexed="81"/>
            <rFont val="Tahoma"/>
            <family val="2"/>
          </rPr>
          <t>.</t>
        </r>
      </text>
    </comment>
    <comment ref="BD2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r>
          <rPr>
            <sz val="9"/>
            <color indexed="81"/>
            <rFont val="돋움"/>
            <family val="3"/>
            <charset val="129"/>
          </rPr>
          <t>으로</t>
        </r>
        <r>
          <rPr>
            <sz val="9"/>
            <color indexed="81"/>
            <rFont val="Tahoma"/>
            <family val="2"/>
          </rPr>
          <t xml:space="preserve"> </t>
        </r>
        <r>
          <rPr>
            <sz val="9"/>
            <color indexed="81"/>
            <rFont val="돋움"/>
            <family val="3"/>
            <charset val="129"/>
          </rPr>
          <t>제한</t>
        </r>
      </text>
    </comment>
    <comment ref="CC29" authorId="1" shapeId="0">
      <text>
        <r>
          <rPr>
            <b/>
            <sz val="9"/>
            <color indexed="81"/>
            <rFont val="Tahoma"/>
            <family val="2"/>
          </rPr>
          <t>SNUH:</t>
        </r>
        <r>
          <rPr>
            <sz val="9"/>
            <color indexed="81"/>
            <rFont val="Tahoma"/>
            <family val="2"/>
          </rPr>
          <t xml:space="preserve">
o/s PET</t>
        </r>
      </text>
    </comment>
    <comment ref="DV2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hilar lymph node</t>
        </r>
        <r>
          <rPr>
            <sz val="9"/>
            <color indexed="81"/>
            <rFont val="돋움"/>
            <family val="3"/>
            <charset val="129"/>
          </rPr>
          <t>를</t>
        </r>
        <r>
          <rPr>
            <sz val="9"/>
            <color indexed="81"/>
            <rFont val="Tahoma"/>
            <family val="2"/>
          </rPr>
          <t xml:space="preserve"> </t>
        </r>
        <r>
          <rPr>
            <sz val="9"/>
            <color indexed="81"/>
            <rFont val="돋움"/>
            <family val="3"/>
            <charset val="129"/>
          </rPr>
          <t>이걸로</t>
        </r>
        <r>
          <rPr>
            <sz val="9"/>
            <color indexed="81"/>
            <rFont val="Tahoma"/>
            <family val="2"/>
          </rPr>
          <t xml:space="preserve"> </t>
        </r>
        <r>
          <rPr>
            <sz val="9"/>
            <color indexed="81"/>
            <rFont val="돋움"/>
            <family val="3"/>
            <charset val="129"/>
          </rPr>
          <t>봐도</t>
        </r>
        <r>
          <rPr>
            <sz val="9"/>
            <color indexed="81"/>
            <rFont val="Tahoma"/>
            <family val="2"/>
          </rPr>
          <t xml:space="preserve"> </t>
        </r>
        <r>
          <rPr>
            <sz val="9"/>
            <color indexed="81"/>
            <rFont val="돋움"/>
            <family val="3"/>
            <charset val="129"/>
          </rPr>
          <t>되나</t>
        </r>
        <r>
          <rPr>
            <sz val="9"/>
            <color indexed="81"/>
            <rFont val="Tahoma"/>
            <family val="2"/>
          </rPr>
          <t>...</t>
        </r>
      </text>
    </comment>
    <comment ref="AV3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radial margin </t>
        </r>
        <r>
          <rPr>
            <sz val="9"/>
            <color indexed="81"/>
            <rFont val="돋움"/>
            <family val="3"/>
            <charset val="129"/>
          </rPr>
          <t>언급이</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추정하기도</t>
        </r>
        <r>
          <rPr>
            <sz val="9"/>
            <color indexed="81"/>
            <rFont val="Tahoma"/>
            <family val="2"/>
          </rPr>
          <t xml:space="preserve"> </t>
        </r>
        <r>
          <rPr>
            <sz val="9"/>
            <color indexed="81"/>
            <rFont val="돋움"/>
            <family val="3"/>
            <charset val="129"/>
          </rPr>
          <t>어려움</t>
        </r>
        <r>
          <rPr>
            <sz val="9"/>
            <color indexed="81"/>
            <rFont val="Tahoma"/>
            <family val="2"/>
          </rPr>
          <t xml:space="preserve">, </t>
        </r>
        <r>
          <rPr>
            <sz val="9"/>
            <color indexed="81"/>
            <rFont val="돋움"/>
            <family val="3"/>
            <charset val="129"/>
          </rPr>
          <t>인근</t>
        </r>
        <r>
          <rPr>
            <sz val="9"/>
            <color indexed="81"/>
            <rFont val="Tahoma"/>
            <family val="2"/>
          </rPr>
          <t xml:space="preserve"> paraesophageal lymph node station</t>
        </r>
        <r>
          <rPr>
            <sz val="9"/>
            <color indexed="81"/>
            <rFont val="돋움"/>
            <family val="3"/>
            <charset val="129"/>
          </rPr>
          <t>을</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포함해서</t>
        </r>
        <r>
          <rPr>
            <sz val="9"/>
            <color indexed="81"/>
            <rFont val="Tahoma"/>
            <family val="2"/>
          </rPr>
          <t>.</t>
        </r>
      </text>
    </comment>
    <comment ref="O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본원</t>
        </r>
        <r>
          <rPr>
            <sz val="9"/>
            <color indexed="81"/>
            <rFont val="Tahoma"/>
            <family val="2"/>
          </rPr>
          <t xml:space="preserve"> </t>
        </r>
        <r>
          <rPr>
            <sz val="9"/>
            <color indexed="81"/>
            <rFont val="돋움"/>
            <family val="3"/>
            <charset val="129"/>
          </rPr>
          <t>판독문은</t>
        </r>
        <r>
          <rPr>
            <sz val="9"/>
            <color indexed="81"/>
            <rFont val="Tahoma"/>
            <family val="2"/>
          </rPr>
          <t xml:space="preserve"> 'poorly differentiated carcinoma', </t>
        </r>
        <r>
          <rPr>
            <sz val="9"/>
            <color indexed="81"/>
            <rFont val="돋움"/>
            <family val="3"/>
            <charset val="129"/>
          </rPr>
          <t>타원</t>
        </r>
        <r>
          <rPr>
            <sz val="9"/>
            <color indexed="81"/>
            <rFont val="Tahoma"/>
            <family val="2"/>
          </rPr>
          <t xml:space="preserve"> </t>
        </r>
        <r>
          <rPr>
            <sz val="9"/>
            <color indexed="81"/>
            <rFont val="돋움"/>
            <family val="3"/>
            <charset val="129"/>
          </rPr>
          <t>판독문은</t>
        </r>
        <r>
          <rPr>
            <sz val="9"/>
            <color indexed="81"/>
            <rFont val="Tahoma"/>
            <family val="2"/>
          </rPr>
          <t xml:space="preserve"> 'poorly differentiated squamous cell carcinoma'. </t>
        </r>
        <r>
          <rPr>
            <sz val="9"/>
            <color indexed="81"/>
            <rFont val="돋움"/>
            <family val="3"/>
            <charset val="129"/>
          </rPr>
          <t>애매하긴</t>
        </r>
        <r>
          <rPr>
            <sz val="9"/>
            <color indexed="81"/>
            <rFont val="Tahoma"/>
            <family val="2"/>
          </rPr>
          <t xml:space="preserve"> </t>
        </r>
        <r>
          <rPr>
            <sz val="9"/>
            <color indexed="81"/>
            <rFont val="돋움"/>
            <family val="3"/>
            <charset val="129"/>
          </rPr>
          <t>함</t>
        </r>
        <r>
          <rPr>
            <sz val="9"/>
            <color indexed="81"/>
            <rFont val="Tahoma"/>
            <family val="2"/>
          </rPr>
          <t>.</t>
        </r>
      </text>
    </comment>
    <comment ref="AX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유의</t>
        </r>
        <r>
          <rPr>
            <sz val="9"/>
            <color indexed="81"/>
            <rFont val="Tahoma"/>
            <family val="2"/>
          </rPr>
          <t>: GTV</t>
        </r>
        <r>
          <rPr>
            <sz val="9"/>
            <color indexed="81"/>
            <rFont val="돋움"/>
            <family val="3"/>
            <charset val="129"/>
          </rPr>
          <t>에서</t>
        </r>
        <r>
          <rPr>
            <sz val="9"/>
            <color indexed="81"/>
            <rFont val="Tahoma"/>
            <family val="2"/>
          </rPr>
          <t xml:space="preserve"> </t>
        </r>
        <r>
          <rPr>
            <sz val="9"/>
            <color indexed="81"/>
            <rFont val="돋움"/>
            <family val="3"/>
            <charset val="129"/>
          </rPr>
          <t>바로</t>
        </r>
        <r>
          <rPr>
            <sz val="9"/>
            <color indexed="81"/>
            <rFont val="Tahoma"/>
            <family val="2"/>
          </rPr>
          <t xml:space="preserve"> PTV expansion</t>
        </r>
        <r>
          <rPr>
            <sz val="9"/>
            <color indexed="81"/>
            <rFont val="돋움"/>
            <family val="3"/>
            <charset val="129"/>
          </rPr>
          <t>함</t>
        </r>
        <r>
          <rPr>
            <sz val="9"/>
            <color indexed="81"/>
            <rFont val="Tahoma"/>
            <family val="2"/>
          </rPr>
          <t>.</t>
        </r>
      </text>
    </comment>
    <comment ref="AY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유의</t>
        </r>
        <r>
          <rPr>
            <sz val="9"/>
            <color indexed="81"/>
            <rFont val="Tahoma"/>
            <family val="2"/>
          </rPr>
          <t>: GTV</t>
        </r>
        <r>
          <rPr>
            <sz val="9"/>
            <color indexed="81"/>
            <rFont val="돋움"/>
            <family val="3"/>
            <charset val="129"/>
          </rPr>
          <t>에서</t>
        </r>
        <r>
          <rPr>
            <sz val="9"/>
            <color indexed="81"/>
            <rFont val="Tahoma"/>
            <family val="2"/>
          </rPr>
          <t xml:space="preserve"> </t>
        </r>
        <r>
          <rPr>
            <sz val="9"/>
            <color indexed="81"/>
            <rFont val="돋움"/>
            <family val="3"/>
            <charset val="129"/>
          </rPr>
          <t>바로</t>
        </r>
        <r>
          <rPr>
            <sz val="9"/>
            <color indexed="81"/>
            <rFont val="Tahoma"/>
            <family val="2"/>
          </rPr>
          <t xml:space="preserve"> PTV expansion</t>
        </r>
        <r>
          <rPr>
            <sz val="9"/>
            <color indexed="81"/>
            <rFont val="돋움"/>
            <family val="3"/>
            <charset val="129"/>
          </rPr>
          <t>함</t>
        </r>
        <r>
          <rPr>
            <sz val="9"/>
            <color indexed="81"/>
            <rFont val="Tahoma"/>
            <family val="2"/>
          </rPr>
          <t>.</t>
        </r>
      </text>
    </comment>
    <comment ref="AZ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LF </t>
        </r>
        <r>
          <rPr>
            <sz val="9"/>
            <color indexed="81"/>
            <rFont val="돋움"/>
            <family val="3"/>
            <charset val="129"/>
          </rPr>
          <t>한정</t>
        </r>
        <r>
          <rPr>
            <sz val="9"/>
            <color indexed="81"/>
            <rFont val="Tahoma"/>
            <family val="2"/>
          </rPr>
          <t>.</t>
        </r>
      </text>
    </comment>
    <comment ref="DF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언급</t>
        </r>
        <r>
          <rPr>
            <sz val="9"/>
            <color indexed="81"/>
            <rFont val="Tahoma"/>
            <family val="2"/>
          </rPr>
          <t xml:space="preserve"> </t>
        </r>
        <r>
          <rPr>
            <sz val="9"/>
            <color indexed="81"/>
            <rFont val="돋움"/>
            <family val="3"/>
            <charset val="129"/>
          </rPr>
          <t>없음</t>
        </r>
      </text>
    </comment>
    <comment ref="FT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2014/10/8 </t>
        </r>
        <r>
          <rPr>
            <sz val="9"/>
            <color indexed="81"/>
            <rFont val="돋움"/>
            <family val="3"/>
            <charset val="129"/>
          </rPr>
          <t>흉부외과</t>
        </r>
        <r>
          <rPr>
            <sz val="9"/>
            <color indexed="81"/>
            <rFont val="Tahoma"/>
            <family val="2"/>
          </rPr>
          <t xml:space="preserve"> </t>
        </r>
        <r>
          <rPr>
            <sz val="9"/>
            <color indexed="81"/>
            <rFont val="돋움"/>
            <family val="3"/>
            <charset val="129"/>
          </rPr>
          <t>외래</t>
        </r>
        <r>
          <rPr>
            <sz val="9"/>
            <color indexed="81"/>
            <rFont val="Tahoma"/>
            <family val="2"/>
          </rPr>
          <t xml:space="preserve"> </t>
        </r>
        <r>
          <rPr>
            <sz val="9"/>
            <color indexed="81"/>
            <rFont val="돋움"/>
            <family val="3"/>
            <charset val="129"/>
          </rPr>
          <t>기록</t>
        </r>
        <r>
          <rPr>
            <sz val="9"/>
            <color indexed="81"/>
            <rFont val="Tahoma"/>
            <family val="2"/>
          </rPr>
          <t>:
Foreign body sensation + 
chest pain + int 
reflux sx + 
2014/11/26:
neck pain - onset 2WA
bleed 
dysphagia + 
adominal fullness + 
upper abd op wd pain +
==&gt; dysphagia</t>
        </r>
        <r>
          <rPr>
            <sz val="9"/>
            <color indexed="81"/>
            <rFont val="돋움"/>
            <family val="3"/>
            <charset val="129"/>
          </rPr>
          <t>로</t>
        </r>
        <r>
          <rPr>
            <sz val="9"/>
            <color indexed="81"/>
            <rFont val="Tahoma"/>
            <family val="2"/>
          </rPr>
          <t xml:space="preserve"> balloon dilatatio</t>
        </r>
      </text>
    </comment>
    <comment ref="FU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Balloon dilatation #3
2014/11/27
2015/7/23
2016/4/28</t>
        </r>
      </text>
    </comment>
    <comment ref="AZ3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esophageal GTV</t>
        </r>
        <r>
          <rPr>
            <sz val="9"/>
            <color indexed="81"/>
            <rFont val="돋움"/>
            <family val="3"/>
            <charset val="129"/>
          </rPr>
          <t>는</t>
        </r>
        <r>
          <rPr>
            <sz val="9"/>
            <color indexed="81"/>
            <rFont val="Tahoma"/>
            <family val="2"/>
          </rPr>
          <t xml:space="preserve"> 1.0, lymph node</t>
        </r>
        <r>
          <rPr>
            <sz val="9"/>
            <color indexed="81"/>
            <rFont val="돋움"/>
            <family val="3"/>
            <charset val="129"/>
          </rPr>
          <t>는</t>
        </r>
        <r>
          <rPr>
            <sz val="9"/>
            <color indexed="81"/>
            <rFont val="Tahoma"/>
            <family val="2"/>
          </rPr>
          <t xml:space="preserve"> 0.7</t>
        </r>
      </text>
    </comment>
    <comment ref="BD3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AF3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PAN, aortocaval…</t>
        </r>
      </text>
    </comment>
    <comment ref="AP3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abdominal lymph node</t>
        </r>
        <r>
          <rPr>
            <sz val="9"/>
            <color indexed="81"/>
            <rFont val="돋움"/>
            <family val="3"/>
            <charset val="129"/>
          </rPr>
          <t>쪽이</t>
        </r>
        <r>
          <rPr>
            <sz val="9"/>
            <color indexed="81"/>
            <rFont val="Tahoma"/>
            <family val="2"/>
          </rPr>
          <t xml:space="preserve"> lymph node</t>
        </r>
        <r>
          <rPr>
            <sz val="9"/>
            <color indexed="81"/>
            <rFont val="돋움"/>
            <family val="3"/>
            <charset val="129"/>
          </rPr>
          <t>에</t>
        </r>
        <r>
          <rPr>
            <sz val="9"/>
            <color indexed="81"/>
            <rFont val="Tahoma"/>
            <family val="2"/>
          </rPr>
          <t xml:space="preserve"> </t>
        </r>
        <r>
          <rPr>
            <sz val="9"/>
            <color indexed="81"/>
            <rFont val="돋움"/>
            <family val="3"/>
            <charset val="129"/>
          </rPr>
          <t>비해서</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넓게</t>
        </r>
        <r>
          <rPr>
            <sz val="9"/>
            <color indexed="81"/>
            <rFont val="Tahoma"/>
            <family val="2"/>
          </rPr>
          <t xml:space="preserve"> </t>
        </r>
        <r>
          <rPr>
            <sz val="9"/>
            <color indexed="81"/>
            <rFont val="돋움"/>
            <family val="3"/>
            <charset val="129"/>
          </rPr>
          <t>잡혀있는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사실인데</t>
        </r>
        <r>
          <rPr>
            <sz val="9"/>
            <color indexed="81"/>
            <rFont val="Tahoma"/>
            <family val="2"/>
          </rPr>
          <t xml:space="preserve">, </t>
        </r>
        <r>
          <rPr>
            <sz val="9"/>
            <color indexed="81"/>
            <rFont val="돋움"/>
            <family val="3"/>
            <charset val="129"/>
          </rPr>
          <t>군데군데</t>
        </r>
        <r>
          <rPr>
            <sz val="9"/>
            <color indexed="81"/>
            <rFont val="Tahoma"/>
            <family val="2"/>
          </rPr>
          <t xml:space="preserve"> metastatic lymph node</t>
        </r>
        <r>
          <rPr>
            <sz val="9"/>
            <color indexed="81"/>
            <rFont val="돋움"/>
            <family val="3"/>
            <charset val="129"/>
          </rPr>
          <t>가</t>
        </r>
        <r>
          <rPr>
            <sz val="9"/>
            <color indexed="81"/>
            <rFont val="Tahoma"/>
            <family val="2"/>
          </rPr>
          <t xml:space="preserve"> </t>
        </r>
        <r>
          <rPr>
            <sz val="9"/>
            <color indexed="81"/>
            <rFont val="돋움"/>
            <family val="3"/>
            <charset val="129"/>
          </rPr>
          <t>있어서</t>
        </r>
        <r>
          <rPr>
            <sz val="9"/>
            <color indexed="81"/>
            <rFont val="Tahoma"/>
            <family val="2"/>
          </rPr>
          <t xml:space="preserve"> elective</t>
        </r>
        <r>
          <rPr>
            <sz val="9"/>
            <color indexed="81"/>
            <rFont val="돋움"/>
            <family val="3"/>
            <charset val="129"/>
          </rPr>
          <t>라고</t>
        </r>
        <r>
          <rPr>
            <sz val="9"/>
            <color indexed="81"/>
            <rFont val="Tahoma"/>
            <family val="2"/>
          </rPr>
          <t xml:space="preserve"> </t>
        </r>
        <r>
          <rPr>
            <sz val="9"/>
            <color indexed="81"/>
            <rFont val="돋움"/>
            <family val="3"/>
            <charset val="129"/>
          </rPr>
          <t>하기에도</t>
        </r>
        <r>
          <rPr>
            <sz val="9"/>
            <color indexed="81"/>
            <rFont val="Tahoma"/>
            <family val="2"/>
          </rPr>
          <t xml:space="preserve"> </t>
        </r>
        <r>
          <rPr>
            <sz val="9"/>
            <color indexed="81"/>
            <rFont val="돋움"/>
            <family val="3"/>
            <charset val="129"/>
          </rPr>
          <t>애매한</t>
        </r>
        <r>
          <rPr>
            <sz val="9"/>
            <color indexed="81"/>
            <rFont val="Tahoma"/>
            <family val="2"/>
          </rPr>
          <t xml:space="preserve"> </t>
        </r>
        <r>
          <rPr>
            <sz val="9"/>
            <color indexed="81"/>
            <rFont val="돋움"/>
            <family val="3"/>
            <charset val="129"/>
          </rPr>
          <t>면이</t>
        </r>
        <r>
          <rPr>
            <sz val="9"/>
            <color indexed="81"/>
            <rFont val="Tahoma"/>
            <family val="2"/>
          </rPr>
          <t xml:space="preserve"> </t>
        </r>
        <r>
          <rPr>
            <sz val="9"/>
            <color indexed="81"/>
            <rFont val="돋움"/>
            <family val="3"/>
            <charset val="129"/>
          </rPr>
          <t>있다</t>
        </r>
        <r>
          <rPr>
            <sz val="9"/>
            <color indexed="81"/>
            <rFont val="Tahoma"/>
            <family val="2"/>
          </rPr>
          <t>.</t>
        </r>
      </text>
    </comment>
    <comment ref="CD33" authorId="1" shapeId="0">
      <text>
        <r>
          <rPr>
            <b/>
            <sz val="9"/>
            <color indexed="81"/>
            <rFont val="Tahoma"/>
            <family val="2"/>
          </rPr>
          <t>SNUH:</t>
        </r>
        <r>
          <rPr>
            <sz val="9"/>
            <color indexed="81"/>
            <rFont val="Tahoma"/>
            <family val="2"/>
          </rPr>
          <t xml:space="preserve">
"Diffuse hypermetabolism</t>
        </r>
        <r>
          <rPr>
            <sz val="9"/>
            <color indexed="81"/>
            <rFont val="돋움"/>
            <family val="3"/>
            <charset val="129"/>
          </rPr>
          <t>이</t>
        </r>
        <r>
          <rPr>
            <sz val="9"/>
            <color indexed="81"/>
            <rFont val="Tahoma"/>
            <family val="2"/>
          </rPr>
          <t xml:space="preserve"> mid to distal esophagus</t>
        </r>
        <r>
          <rPr>
            <sz val="9"/>
            <color indexed="81"/>
            <rFont val="돋움"/>
            <family val="3"/>
            <charset val="129"/>
          </rPr>
          <t>에서</t>
        </r>
        <r>
          <rPr>
            <sz val="9"/>
            <color indexed="81"/>
            <rFont val="Tahoma"/>
            <family val="2"/>
          </rPr>
          <t xml:space="preserve"> </t>
        </r>
        <r>
          <rPr>
            <sz val="9"/>
            <color indexed="81"/>
            <rFont val="돋움"/>
            <family val="3"/>
            <charset val="129"/>
          </rPr>
          <t>관찰되며</t>
        </r>
        <r>
          <rPr>
            <sz val="9"/>
            <color indexed="81"/>
            <rFont val="Tahoma"/>
            <family val="2"/>
          </rPr>
          <t>, post RT change</t>
        </r>
        <r>
          <rPr>
            <sz val="9"/>
            <color indexed="81"/>
            <rFont val="돋움"/>
            <family val="3"/>
            <charset val="129"/>
          </rPr>
          <t>로</t>
        </r>
        <r>
          <rPr>
            <sz val="9"/>
            <color indexed="81"/>
            <rFont val="Tahoma"/>
            <family val="2"/>
          </rPr>
          <t xml:space="preserve"> </t>
        </r>
        <r>
          <rPr>
            <sz val="9"/>
            <color indexed="81"/>
            <rFont val="돋움"/>
            <family val="3"/>
            <charset val="129"/>
          </rPr>
          <t>생각됨</t>
        </r>
        <r>
          <rPr>
            <sz val="9"/>
            <color indexed="81"/>
            <rFont val="Tahoma"/>
            <family val="2"/>
          </rPr>
          <t>. definite</t>
        </r>
        <r>
          <rPr>
            <sz val="9"/>
            <color indexed="81"/>
            <rFont val="돋움"/>
            <family val="3"/>
            <charset val="129"/>
          </rPr>
          <t>한</t>
        </r>
        <r>
          <rPr>
            <sz val="9"/>
            <color indexed="81"/>
            <rFont val="Tahoma"/>
            <family val="2"/>
          </rPr>
          <t xml:space="preserve"> mass lesion</t>
        </r>
        <r>
          <rPr>
            <sz val="9"/>
            <color indexed="81"/>
            <rFont val="돋움"/>
            <family val="3"/>
            <charset val="129"/>
          </rPr>
          <t>은</t>
        </r>
        <r>
          <rPr>
            <sz val="9"/>
            <color indexed="81"/>
            <rFont val="Tahoma"/>
            <family val="2"/>
          </rPr>
          <t xml:space="preserve"> </t>
        </r>
        <r>
          <rPr>
            <sz val="9"/>
            <color indexed="81"/>
            <rFont val="돋움"/>
            <family val="3"/>
            <charset val="129"/>
          </rPr>
          <t>관찰되지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이라며</t>
        </r>
        <r>
          <rPr>
            <sz val="9"/>
            <color indexed="81"/>
            <rFont val="Tahoma"/>
            <family val="2"/>
          </rPr>
          <t xml:space="preserve"> SUV</t>
        </r>
        <r>
          <rPr>
            <sz val="9"/>
            <color indexed="81"/>
            <rFont val="돋움"/>
            <family val="3"/>
            <charset val="129"/>
          </rPr>
          <t>를</t>
        </r>
        <r>
          <rPr>
            <sz val="9"/>
            <color indexed="81"/>
            <rFont val="Tahoma"/>
            <family val="2"/>
          </rPr>
          <t xml:space="preserve"> </t>
        </r>
        <r>
          <rPr>
            <sz val="9"/>
            <color indexed="81"/>
            <rFont val="돋움"/>
            <family val="3"/>
            <charset val="129"/>
          </rPr>
          <t>보고하지</t>
        </r>
        <r>
          <rPr>
            <sz val="9"/>
            <color indexed="81"/>
            <rFont val="Tahoma"/>
            <family val="2"/>
          </rPr>
          <t xml:space="preserve"> </t>
        </r>
        <r>
          <rPr>
            <sz val="9"/>
            <color indexed="81"/>
            <rFont val="돋움"/>
            <family val="3"/>
            <charset val="129"/>
          </rPr>
          <t>않았다</t>
        </r>
        <r>
          <rPr>
            <sz val="9"/>
            <color indexed="81"/>
            <rFont val="Tahoma"/>
            <family val="2"/>
          </rPr>
          <t>.</t>
        </r>
      </text>
    </comment>
    <comment ref="CL3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M1</t>
        </r>
        <r>
          <rPr>
            <sz val="9"/>
            <color indexed="81"/>
            <rFont val="돋움"/>
            <family val="3"/>
            <charset val="129"/>
          </rPr>
          <t>이</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아니라면</t>
        </r>
        <r>
          <rPr>
            <sz val="9"/>
            <color indexed="81"/>
            <rFont val="Tahoma"/>
            <family val="2"/>
          </rPr>
          <t>.</t>
        </r>
      </text>
    </comment>
    <comment ref="EF3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Poor PS</t>
        </r>
        <r>
          <rPr>
            <sz val="9"/>
            <color indexed="81"/>
            <rFont val="돋움"/>
            <family val="3"/>
            <charset val="129"/>
          </rPr>
          <t>로</t>
        </r>
        <r>
          <rPr>
            <sz val="9"/>
            <color indexed="81"/>
            <rFont val="Tahoma"/>
            <family val="2"/>
          </rPr>
          <t xml:space="preserve"> </t>
        </r>
        <r>
          <rPr>
            <sz val="9"/>
            <color indexed="81"/>
            <rFont val="돋움"/>
            <family val="3"/>
            <charset val="129"/>
          </rPr>
          <t>인해</t>
        </r>
        <r>
          <rPr>
            <sz val="9"/>
            <color indexed="81"/>
            <rFont val="Tahoma"/>
            <family val="2"/>
          </rPr>
          <t xml:space="preserve"> basic supportive care only</t>
        </r>
      </text>
    </comment>
    <comment ref="AF3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'retroperitoneal paraaortic area'</t>
        </r>
        <r>
          <rPr>
            <sz val="9"/>
            <color indexed="81"/>
            <rFont val="돋움"/>
            <family val="3"/>
            <charset val="129"/>
          </rPr>
          <t>를</t>
        </r>
        <r>
          <rPr>
            <sz val="9"/>
            <color indexed="81"/>
            <rFont val="Tahoma"/>
            <family val="2"/>
          </rPr>
          <t xml:space="preserve"> M1</t>
        </r>
        <r>
          <rPr>
            <sz val="9"/>
            <color indexed="81"/>
            <rFont val="돋움"/>
            <family val="3"/>
            <charset val="129"/>
          </rPr>
          <t>으로</t>
        </r>
        <r>
          <rPr>
            <sz val="9"/>
            <color indexed="81"/>
            <rFont val="Tahoma"/>
            <family val="2"/>
          </rPr>
          <t xml:space="preserve"> </t>
        </r>
        <r>
          <rPr>
            <sz val="9"/>
            <color indexed="81"/>
            <rFont val="돋움"/>
            <family val="3"/>
            <charset val="129"/>
          </rPr>
          <t>봐야하나</t>
        </r>
        <r>
          <rPr>
            <sz val="9"/>
            <color indexed="81"/>
            <rFont val="Tahoma"/>
            <family val="2"/>
          </rPr>
          <t xml:space="preserve">… GEJ </t>
        </r>
        <r>
          <rPr>
            <sz val="9"/>
            <color indexed="81"/>
            <rFont val="돋움"/>
            <family val="3"/>
            <charset val="129"/>
          </rPr>
          <t>근처인</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같던데</t>
        </r>
        <r>
          <rPr>
            <sz val="9"/>
            <color indexed="81"/>
            <rFont val="Tahoma"/>
            <family val="2"/>
          </rPr>
          <t>...</t>
        </r>
      </text>
    </comment>
    <comment ref="AU3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기술이</t>
        </r>
        <r>
          <rPr>
            <sz val="9"/>
            <color indexed="81"/>
            <rFont val="Tahoma"/>
            <family val="2"/>
          </rPr>
          <t xml:space="preserve"> </t>
        </r>
        <r>
          <rPr>
            <sz val="9"/>
            <color indexed="81"/>
            <rFont val="돋움"/>
            <family val="3"/>
            <charset val="129"/>
          </rPr>
          <t>부정확함</t>
        </r>
        <r>
          <rPr>
            <sz val="9"/>
            <color indexed="81"/>
            <rFont val="Tahoma"/>
            <family val="2"/>
          </rPr>
          <t>.</t>
        </r>
      </text>
    </comment>
    <comment ref="BC3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lymph node metastasis</t>
        </r>
        <r>
          <rPr>
            <sz val="9"/>
            <color indexed="81"/>
            <rFont val="돋움"/>
            <family val="3"/>
            <charset val="129"/>
          </rPr>
          <t>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이렇게</t>
        </r>
        <r>
          <rPr>
            <sz val="9"/>
            <color indexed="81"/>
            <rFont val="Tahoma"/>
            <family val="2"/>
          </rPr>
          <t xml:space="preserve"> </t>
        </r>
        <r>
          <rPr>
            <sz val="9"/>
            <color indexed="81"/>
            <rFont val="돋움"/>
            <family val="3"/>
            <charset val="129"/>
          </rPr>
          <t>늘어난</t>
        </r>
        <r>
          <rPr>
            <sz val="9"/>
            <color indexed="81"/>
            <rFont val="Tahoma"/>
            <family val="2"/>
          </rPr>
          <t xml:space="preserve"> </t>
        </r>
        <r>
          <rPr>
            <sz val="9"/>
            <color indexed="81"/>
            <rFont val="돋움"/>
            <family val="3"/>
            <charset val="129"/>
          </rPr>
          <t>것이고</t>
        </r>
        <r>
          <rPr>
            <sz val="9"/>
            <color indexed="81"/>
            <rFont val="Tahoma"/>
            <family val="2"/>
          </rPr>
          <t xml:space="preserve"> (periesophageal lymph node</t>
        </r>
        <r>
          <rPr>
            <sz val="9"/>
            <color indexed="81"/>
            <rFont val="돋움"/>
            <family val="3"/>
            <charset val="129"/>
          </rPr>
          <t>가</t>
        </r>
        <r>
          <rPr>
            <sz val="9"/>
            <color indexed="81"/>
            <rFont val="Tahoma"/>
            <family val="2"/>
          </rPr>
          <t xml:space="preserve"> </t>
        </r>
        <r>
          <rPr>
            <sz val="9"/>
            <color indexed="81"/>
            <rFont val="돋움"/>
            <family val="3"/>
            <charset val="129"/>
          </rPr>
          <t>군데군데</t>
        </r>
        <r>
          <rPr>
            <sz val="9"/>
            <color indexed="81"/>
            <rFont val="Tahoma"/>
            <family val="2"/>
          </rPr>
          <t xml:space="preserve"> </t>
        </r>
        <r>
          <rPr>
            <sz val="9"/>
            <color indexed="81"/>
            <rFont val="돋움"/>
            <family val="3"/>
            <charset val="129"/>
          </rPr>
          <t>있다</t>
        </r>
        <r>
          <rPr>
            <sz val="9"/>
            <color indexed="81"/>
            <rFont val="Tahoma"/>
            <family val="2"/>
          </rPr>
          <t>), elective coverage</t>
        </r>
        <r>
          <rPr>
            <sz val="9"/>
            <color indexed="81"/>
            <rFont val="돋움"/>
            <family val="3"/>
            <charset val="129"/>
          </rPr>
          <t>가</t>
        </r>
        <r>
          <rPr>
            <sz val="9"/>
            <color indexed="81"/>
            <rFont val="Tahoma"/>
            <family val="2"/>
          </rPr>
          <t xml:space="preserve"> </t>
        </r>
        <r>
          <rPr>
            <sz val="9"/>
            <color indexed="81"/>
            <rFont val="돋움"/>
            <family val="3"/>
            <charset val="129"/>
          </rPr>
          <t>아니다</t>
        </r>
        <r>
          <rPr>
            <sz val="9"/>
            <color indexed="81"/>
            <rFont val="Tahoma"/>
            <family val="2"/>
          </rPr>
          <t>.</t>
        </r>
      </text>
    </comment>
    <comment ref="CK3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Separate tumor</t>
        </r>
        <r>
          <rPr>
            <sz val="9"/>
            <color indexed="81"/>
            <rFont val="돋움"/>
            <family val="3"/>
            <charset val="129"/>
          </rPr>
          <t>이</t>
        </r>
        <r>
          <rPr>
            <sz val="9"/>
            <color indexed="81"/>
            <rFont val="Tahoma"/>
            <family val="2"/>
          </rPr>
          <t xml:space="preserve"> </t>
        </r>
        <r>
          <rPr>
            <sz val="9"/>
            <color indexed="81"/>
            <rFont val="돋움"/>
            <family val="3"/>
            <charset val="129"/>
          </rPr>
          <t>있엇다</t>
        </r>
        <r>
          <rPr>
            <sz val="9"/>
            <color indexed="81"/>
            <rFont val="Tahoma"/>
            <family val="2"/>
          </rPr>
          <t>.</t>
        </r>
      </text>
    </comment>
    <comment ref="CW3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multiple tumor </t>
        </r>
        <r>
          <rPr>
            <sz val="9"/>
            <color indexed="81"/>
            <rFont val="돋움"/>
            <family val="3"/>
            <charset val="129"/>
          </rPr>
          <t>중</t>
        </r>
        <r>
          <rPr>
            <sz val="9"/>
            <color indexed="81"/>
            <rFont val="Tahoma"/>
            <family val="2"/>
          </rPr>
          <t xml:space="preserve"> staging</t>
        </r>
        <r>
          <rPr>
            <sz val="9"/>
            <color indexed="81"/>
            <rFont val="돋움"/>
            <family val="3"/>
            <charset val="129"/>
          </rPr>
          <t>이</t>
        </r>
        <r>
          <rPr>
            <sz val="9"/>
            <color indexed="81"/>
            <rFont val="Tahoma"/>
            <family val="2"/>
          </rPr>
          <t xml:space="preserve"> </t>
        </r>
        <r>
          <rPr>
            <sz val="9"/>
            <color indexed="81"/>
            <rFont val="돋움"/>
            <family val="3"/>
            <charset val="129"/>
          </rPr>
          <t>높은</t>
        </r>
        <r>
          <rPr>
            <sz val="9"/>
            <color indexed="81"/>
            <rFont val="Tahoma"/>
            <family val="2"/>
          </rPr>
          <t xml:space="preserve"> </t>
        </r>
        <r>
          <rPr>
            <sz val="9"/>
            <color indexed="81"/>
            <rFont val="돋움"/>
            <family val="3"/>
            <charset val="129"/>
          </rPr>
          <t>하나만</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기록해</t>
        </r>
        <r>
          <rPr>
            <sz val="9"/>
            <color indexed="81"/>
            <rFont val="Tahoma"/>
            <family val="2"/>
          </rPr>
          <t xml:space="preserve"> </t>
        </r>
        <r>
          <rPr>
            <sz val="9"/>
            <color indexed="81"/>
            <rFont val="돋움"/>
            <family val="3"/>
            <charset val="129"/>
          </rPr>
          <t>두었으니</t>
        </r>
        <r>
          <rPr>
            <sz val="9"/>
            <color indexed="81"/>
            <rFont val="Tahoma"/>
            <family val="2"/>
          </rPr>
          <t xml:space="preserve"> </t>
        </r>
        <r>
          <rPr>
            <sz val="9"/>
            <color indexed="81"/>
            <rFont val="돋움"/>
            <family val="3"/>
            <charset val="129"/>
          </rPr>
          <t>참고할</t>
        </r>
        <r>
          <rPr>
            <sz val="9"/>
            <color indexed="81"/>
            <rFont val="Tahoma"/>
            <family val="2"/>
          </rPr>
          <t xml:space="preserve"> </t>
        </r>
        <r>
          <rPr>
            <sz val="9"/>
            <color indexed="81"/>
            <rFont val="돋움"/>
            <family val="3"/>
            <charset val="129"/>
          </rPr>
          <t>것</t>
        </r>
        <r>
          <rPr>
            <sz val="9"/>
            <color indexed="81"/>
            <rFont val="Tahoma"/>
            <family val="2"/>
          </rPr>
          <t>.</t>
        </r>
      </text>
    </comment>
    <comment ref="DI3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Adjuvant FP chemo #4 (2016/8/29 - 11/28)</t>
        </r>
      </text>
    </comment>
    <comment ref="P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이건</t>
        </r>
        <r>
          <rPr>
            <sz val="9"/>
            <color indexed="81"/>
            <rFont val="Tahoma"/>
            <family val="2"/>
          </rPr>
          <t xml:space="preserve"> EGD bx.</t>
        </r>
        <r>
          <rPr>
            <sz val="9"/>
            <color indexed="81"/>
            <rFont val="돋움"/>
            <family val="3"/>
            <charset val="129"/>
          </rPr>
          <t>이</t>
        </r>
        <r>
          <rPr>
            <sz val="9"/>
            <color indexed="81"/>
            <rFont val="Tahoma"/>
            <family val="2"/>
          </rPr>
          <t xml:space="preserve"> </t>
        </r>
        <r>
          <rPr>
            <sz val="9"/>
            <color indexed="81"/>
            <rFont val="돋움"/>
            <family val="3"/>
            <charset val="129"/>
          </rPr>
          <t>아니고</t>
        </r>
        <r>
          <rPr>
            <sz val="9"/>
            <color indexed="81"/>
            <rFont val="Tahoma"/>
            <family val="2"/>
          </rPr>
          <t xml:space="preserve"> SCL</t>
        </r>
        <r>
          <rPr>
            <sz val="9"/>
            <color indexed="81"/>
            <rFont val="돋움"/>
            <family val="3"/>
            <charset val="129"/>
          </rPr>
          <t>에서</t>
        </r>
        <r>
          <rPr>
            <sz val="9"/>
            <color indexed="81"/>
            <rFont val="Tahoma"/>
            <family val="2"/>
          </rPr>
          <t xml:space="preserve"> </t>
        </r>
        <r>
          <rPr>
            <sz val="9"/>
            <color indexed="81"/>
            <rFont val="돋움"/>
            <family val="3"/>
            <charset val="129"/>
          </rPr>
          <t>확인함</t>
        </r>
        <r>
          <rPr>
            <sz val="9"/>
            <color indexed="81"/>
            <rFont val="Tahoma"/>
            <family val="2"/>
          </rPr>
          <t>.</t>
        </r>
      </text>
    </comment>
    <comment ref="X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정확히는</t>
        </r>
        <r>
          <rPr>
            <sz val="9"/>
            <color indexed="81"/>
            <rFont val="Tahoma"/>
            <family val="2"/>
          </rPr>
          <t xml:space="preserve"> T3-4</t>
        </r>
        <r>
          <rPr>
            <sz val="9"/>
            <color indexed="81"/>
            <rFont val="돋움"/>
            <family val="3"/>
            <charset val="129"/>
          </rPr>
          <t>로</t>
        </r>
        <r>
          <rPr>
            <sz val="9"/>
            <color indexed="81"/>
            <rFont val="Tahoma"/>
            <family val="2"/>
          </rPr>
          <t xml:space="preserve"> </t>
        </r>
        <r>
          <rPr>
            <sz val="9"/>
            <color indexed="81"/>
            <rFont val="돋움"/>
            <family val="3"/>
            <charset val="129"/>
          </rPr>
          <t>평가함</t>
        </r>
        <r>
          <rPr>
            <sz val="9"/>
            <color indexed="81"/>
            <rFont val="Tahoma"/>
            <family val="2"/>
          </rPr>
          <t>. Pericardium</t>
        </r>
        <r>
          <rPr>
            <sz val="9"/>
            <color indexed="81"/>
            <rFont val="돋움"/>
            <family val="3"/>
            <charset val="129"/>
          </rPr>
          <t>에</t>
        </r>
        <r>
          <rPr>
            <sz val="9"/>
            <color indexed="81"/>
            <rFont val="Tahoma"/>
            <family val="2"/>
          </rPr>
          <t xml:space="preserve"> broad abutment</t>
        </r>
      </text>
    </comment>
    <comment ref="AF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SCL</t>
        </r>
      </text>
    </comment>
    <comment ref="AU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proximal 3, distal 2cm</t>
        </r>
      </text>
    </comment>
    <comment ref="BC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기술은</t>
        </r>
        <r>
          <rPr>
            <sz val="9"/>
            <color indexed="81"/>
            <rFont val="Tahoma"/>
            <family val="2"/>
          </rPr>
          <t xml:space="preserve"> 3cm</t>
        </r>
        <r>
          <rPr>
            <sz val="9"/>
            <color indexed="81"/>
            <rFont val="돋움"/>
            <family val="3"/>
            <charset val="129"/>
          </rPr>
          <t>이라고</t>
        </r>
        <r>
          <rPr>
            <sz val="9"/>
            <color indexed="81"/>
            <rFont val="Tahoma"/>
            <family val="2"/>
          </rPr>
          <t xml:space="preserve"> </t>
        </r>
        <r>
          <rPr>
            <sz val="9"/>
            <color indexed="81"/>
            <rFont val="돋움"/>
            <family val="3"/>
            <charset val="129"/>
          </rPr>
          <t>되어</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실재로는</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작지</t>
        </r>
        <r>
          <rPr>
            <sz val="9"/>
            <color indexed="81"/>
            <rFont val="Tahoma"/>
            <family val="2"/>
          </rPr>
          <t xml:space="preserve"> </t>
        </r>
        <r>
          <rPr>
            <sz val="9"/>
            <color indexed="81"/>
            <rFont val="돋움"/>
            <family val="3"/>
            <charset val="129"/>
          </rPr>
          <t>않나</t>
        </r>
        <r>
          <rPr>
            <sz val="9"/>
            <color indexed="81"/>
            <rFont val="Tahoma"/>
            <family val="2"/>
          </rPr>
          <t>…?</t>
        </r>
      </text>
    </comment>
    <comment ref="CL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T0</t>
        </r>
        <r>
          <rPr>
            <sz val="9"/>
            <color indexed="81"/>
            <rFont val="돋움"/>
            <family val="3"/>
            <charset val="129"/>
          </rPr>
          <t>에는</t>
        </r>
        <r>
          <rPr>
            <sz val="9"/>
            <color indexed="81"/>
            <rFont val="Tahoma"/>
            <family val="2"/>
          </rPr>
          <t xml:space="preserve"> staging </t>
        </r>
        <r>
          <rPr>
            <sz val="9"/>
            <color indexed="81"/>
            <rFont val="돋움"/>
            <family val="3"/>
            <charset val="129"/>
          </rPr>
          <t>없던데</t>
        </r>
      </text>
    </comment>
    <comment ref="DI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Adjuvant FP #4 (2015/1/26 - 5/27)</t>
        </r>
      </text>
    </comment>
    <comment ref="DV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cardiophrenic</t>
        </r>
      </text>
    </comment>
    <comment ref="EG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2016/4/30
</t>
        </r>
        <r>
          <rPr>
            <sz val="9"/>
            <color indexed="81"/>
            <rFont val="돋움"/>
            <family val="3"/>
            <charset val="129"/>
          </rPr>
          <t>이후</t>
        </r>
        <r>
          <rPr>
            <sz val="9"/>
            <color indexed="81"/>
            <rFont val="Tahoma"/>
            <family val="2"/>
          </rPr>
          <t xml:space="preserve"> pall IP </t>
        </r>
        <r>
          <rPr>
            <sz val="9"/>
            <color indexed="81"/>
            <rFont val="돋움"/>
            <family val="3"/>
            <charset val="129"/>
          </rPr>
          <t>시행</t>
        </r>
      </text>
    </comment>
    <comment ref="AF3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SCN </t>
        </r>
        <r>
          <rPr>
            <sz val="9"/>
            <color indexed="81"/>
            <rFont val="돋움"/>
            <family val="3"/>
            <charset val="129"/>
          </rPr>
          <t>언급</t>
        </r>
        <r>
          <rPr>
            <sz val="9"/>
            <color indexed="81"/>
            <rFont val="Tahoma"/>
            <family val="2"/>
          </rPr>
          <t xml:space="preserve"> </t>
        </r>
        <r>
          <rPr>
            <sz val="9"/>
            <color indexed="81"/>
            <rFont val="돋움"/>
            <family val="3"/>
            <charset val="129"/>
          </rPr>
          <t>있는데</t>
        </r>
        <r>
          <rPr>
            <sz val="9"/>
            <color indexed="81"/>
            <rFont val="Tahoma"/>
            <family val="2"/>
          </rPr>
          <t xml:space="preserve"> Rt. Upper paraesophageal</t>
        </r>
        <r>
          <rPr>
            <sz val="9"/>
            <color indexed="81"/>
            <rFont val="돋움"/>
            <family val="3"/>
            <charset val="129"/>
          </rPr>
          <t>로</t>
        </r>
        <r>
          <rPr>
            <sz val="9"/>
            <color indexed="81"/>
            <rFont val="Tahoma"/>
            <family val="2"/>
          </rPr>
          <t xml:space="preserve"> </t>
        </r>
        <r>
          <rPr>
            <sz val="9"/>
            <color indexed="81"/>
            <rFont val="돋움"/>
            <family val="3"/>
            <charset val="129"/>
          </rPr>
          <t>볼</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있겠다</t>
        </r>
        <r>
          <rPr>
            <sz val="9"/>
            <color indexed="81"/>
            <rFont val="Tahoma"/>
            <family val="2"/>
          </rPr>
          <t>.</t>
        </r>
      </text>
    </comment>
    <comment ref="AZ3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 0.7-1.0
LN: 0.7cm</t>
        </r>
      </text>
    </comment>
    <comment ref="CL3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T0</t>
        </r>
        <r>
          <rPr>
            <sz val="9"/>
            <color indexed="81"/>
            <rFont val="돋움"/>
            <family val="3"/>
            <charset val="129"/>
          </rPr>
          <t>에는</t>
        </r>
        <r>
          <rPr>
            <sz val="9"/>
            <color indexed="81"/>
            <rFont val="Tahoma"/>
            <family val="2"/>
          </rPr>
          <t xml:space="preserve"> staging </t>
        </r>
        <r>
          <rPr>
            <sz val="9"/>
            <color indexed="81"/>
            <rFont val="돋움"/>
            <family val="3"/>
            <charset val="129"/>
          </rPr>
          <t>없던데</t>
        </r>
      </text>
    </comment>
    <comment ref="DF3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Squamous dysplasia, low grade, 0.1 x 0.1cm</t>
        </r>
      </text>
    </comment>
    <comment ref="AD3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PET</t>
        </r>
        <r>
          <rPr>
            <sz val="9"/>
            <color indexed="81"/>
            <rFont val="돋움"/>
            <family val="3"/>
            <charset val="129"/>
          </rPr>
          <t>에서의</t>
        </r>
        <r>
          <rPr>
            <sz val="9"/>
            <color indexed="81"/>
            <rFont val="Tahoma"/>
            <family val="2"/>
          </rPr>
          <t xml:space="preserve"> hypermetabolism</t>
        </r>
        <r>
          <rPr>
            <sz val="9"/>
            <color indexed="81"/>
            <rFont val="돋움"/>
            <family val="3"/>
            <charset val="129"/>
          </rPr>
          <t>은</t>
        </r>
        <r>
          <rPr>
            <sz val="9"/>
            <color indexed="81"/>
            <rFont val="Tahoma"/>
            <family val="2"/>
          </rPr>
          <t xml:space="preserve"> r/o reactive</t>
        </r>
        <r>
          <rPr>
            <sz val="9"/>
            <color indexed="81"/>
            <rFont val="돋움"/>
            <family val="3"/>
            <charset val="129"/>
          </rPr>
          <t>라서</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애매함</t>
        </r>
      </text>
    </comment>
    <comment ref="AN3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mediastinal field</t>
        </r>
        <r>
          <rPr>
            <sz val="9"/>
            <color indexed="81"/>
            <rFont val="돋움"/>
            <family val="3"/>
            <charset val="129"/>
          </rPr>
          <t>가</t>
        </r>
        <r>
          <rPr>
            <sz val="9"/>
            <color indexed="81"/>
            <rFont val="Tahoma"/>
            <family val="2"/>
          </rPr>
          <t xml:space="preserve"> </t>
        </r>
        <r>
          <rPr>
            <sz val="9"/>
            <color indexed="81"/>
            <rFont val="돋움"/>
            <family val="3"/>
            <charset val="129"/>
          </rPr>
          <t>포함되어는</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영역에</t>
        </r>
        <r>
          <rPr>
            <sz val="9"/>
            <color indexed="81"/>
            <rFont val="Tahoma"/>
            <family val="2"/>
          </rPr>
          <t xml:space="preserve"> GTV</t>
        </r>
        <r>
          <rPr>
            <sz val="9"/>
            <color indexed="81"/>
            <rFont val="돋움"/>
            <family val="3"/>
            <charset val="129"/>
          </rPr>
          <t>도</t>
        </r>
        <r>
          <rPr>
            <sz val="9"/>
            <color indexed="81"/>
            <rFont val="Tahoma"/>
            <family val="2"/>
          </rPr>
          <t xml:space="preserve"> </t>
        </r>
        <r>
          <rPr>
            <sz val="9"/>
            <color indexed="81"/>
            <rFont val="돋움"/>
            <family val="3"/>
            <charset val="129"/>
          </rPr>
          <t>있더라</t>
        </r>
        <r>
          <rPr>
            <sz val="9"/>
            <color indexed="81"/>
            <rFont val="Tahoma"/>
            <family val="2"/>
          </rPr>
          <t>.</t>
        </r>
      </text>
    </comment>
    <comment ref="AZ3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t>
        </r>
        <r>
          <rPr>
            <sz val="9"/>
            <color indexed="81"/>
            <rFont val="돋움"/>
            <family val="3"/>
            <charset val="129"/>
          </rPr>
          <t>는</t>
        </r>
        <r>
          <rPr>
            <sz val="9"/>
            <color indexed="81"/>
            <rFont val="Tahoma"/>
            <family val="2"/>
          </rPr>
          <t xml:space="preserve"> 1.0, LN</t>
        </r>
        <r>
          <rPr>
            <sz val="9"/>
            <color indexed="81"/>
            <rFont val="돋움"/>
            <family val="3"/>
            <charset val="129"/>
          </rPr>
          <t>은</t>
        </r>
        <r>
          <rPr>
            <sz val="9"/>
            <color indexed="81"/>
            <rFont val="Tahoma"/>
            <family val="2"/>
          </rPr>
          <t xml:space="preserve"> +0.7cm</t>
        </r>
      </text>
    </comment>
    <comment ref="CQ3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병리</t>
        </r>
        <r>
          <rPr>
            <sz val="9"/>
            <color indexed="81"/>
            <rFont val="Tahoma"/>
            <family val="2"/>
          </rPr>
          <t xml:space="preserve"> </t>
        </r>
        <r>
          <rPr>
            <sz val="9"/>
            <color indexed="81"/>
            <rFont val="돋움"/>
            <family val="3"/>
            <charset val="129"/>
          </rPr>
          <t>리포트에서</t>
        </r>
        <r>
          <rPr>
            <sz val="9"/>
            <color indexed="81"/>
            <rFont val="Tahoma"/>
            <family val="2"/>
          </rPr>
          <t xml:space="preserve"> </t>
        </r>
        <r>
          <rPr>
            <sz val="9"/>
            <color indexed="81"/>
            <rFont val="돋움"/>
            <family val="3"/>
            <charset val="129"/>
          </rPr>
          <t>크기가</t>
        </r>
        <r>
          <rPr>
            <sz val="9"/>
            <color indexed="81"/>
            <rFont val="Tahoma"/>
            <family val="2"/>
          </rPr>
          <t xml:space="preserve"> </t>
        </r>
        <r>
          <rPr>
            <sz val="9"/>
            <color indexed="81"/>
            <rFont val="돋움"/>
            <family val="3"/>
            <charset val="129"/>
          </rPr>
          <t>누락된</t>
        </r>
        <r>
          <rPr>
            <sz val="9"/>
            <color indexed="81"/>
            <rFont val="Tahoma"/>
            <family val="2"/>
          </rPr>
          <t xml:space="preserve"> </t>
        </r>
        <r>
          <rPr>
            <sz val="9"/>
            <color indexed="81"/>
            <rFont val="돋움"/>
            <family val="3"/>
            <charset val="129"/>
          </rPr>
          <t>듯</t>
        </r>
      </text>
    </comment>
    <comment ref="DQ3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Chronologically</t>
        </r>
        <r>
          <rPr>
            <sz val="9"/>
            <color indexed="81"/>
            <rFont val="돋움"/>
            <family val="3"/>
            <charset val="129"/>
          </rPr>
          <t>하게</t>
        </r>
        <r>
          <rPr>
            <sz val="9"/>
            <color indexed="81"/>
            <rFont val="Tahoma"/>
            <family val="2"/>
          </rPr>
          <t xml:space="preserve"> </t>
        </r>
        <r>
          <rPr>
            <sz val="9"/>
            <color indexed="81"/>
            <rFont val="돋움"/>
            <family val="3"/>
            <charset val="129"/>
          </rPr>
          <t>보면</t>
        </r>
        <r>
          <rPr>
            <sz val="9"/>
            <color indexed="81"/>
            <rFont val="Tahoma"/>
            <family val="2"/>
          </rPr>
          <t>, Lt upper paraesophageal-SCL</t>
        </r>
        <r>
          <rPr>
            <sz val="9"/>
            <color indexed="81"/>
            <rFont val="돋움"/>
            <family val="3"/>
            <charset val="129"/>
          </rPr>
          <t>쯤에서</t>
        </r>
        <r>
          <rPr>
            <sz val="9"/>
            <color indexed="81"/>
            <rFont val="Tahoma"/>
            <family val="2"/>
          </rPr>
          <t xml:space="preserve"> soft tissue</t>
        </r>
        <r>
          <rPr>
            <sz val="9"/>
            <color indexed="81"/>
            <rFont val="돋움"/>
            <family val="3"/>
            <charset val="129"/>
          </rPr>
          <t>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보이고</t>
        </r>
        <r>
          <rPr>
            <sz val="9"/>
            <color indexed="81"/>
            <rFont val="Tahoma"/>
            <family val="2"/>
          </rPr>
          <t xml:space="preserve">, </t>
        </r>
        <r>
          <rPr>
            <sz val="9"/>
            <color indexed="81"/>
            <rFont val="돋움"/>
            <family val="3"/>
            <charset val="129"/>
          </rPr>
          <t>그것이</t>
        </r>
        <r>
          <rPr>
            <sz val="9"/>
            <color indexed="81"/>
            <rFont val="Tahoma"/>
            <family val="2"/>
          </rPr>
          <t xml:space="preserve"> </t>
        </r>
        <r>
          <rPr>
            <sz val="9"/>
            <color indexed="81"/>
            <rFont val="돋움"/>
            <family val="3"/>
            <charset val="129"/>
          </rPr>
          <t>시간이</t>
        </r>
        <r>
          <rPr>
            <sz val="9"/>
            <color indexed="81"/>
            <rFont val="Tahoma"/>
            <family val="2"/>
          </rPr>
          <t xml:space="preserve"> </t>
        </r>
        <r>
          <rPr>
            <sz val="9"/>
            <color indexed="81"/>
            <rFont val="돋움"/>
            <family val="3"/>
            <charset val="129"/>
          </rPr>
          <t>지나서</t>
        </r>
        <r>
          <rPr>
            <sz val="9"/>
            <color indexed="81"/>
            <rFont val="Tahoma"/>
            <family val="2"/>
          </rPr>
          <t xml:space="preserve"> anastomotic site</t>
        </r>
        <r>
          <rPr>
            <sz val="9"/>
            <color indexed="81"/>
            <rFont val="돋움"/>
            <family val="3"/>
            <charset val="129"/>
          </rPr>
          <t>쪽으로</t>
        </r>
        <r>
          <rPr>
            <sz val="9"/>
            <color indexed="81"/>
            <rFont val="Tahoma"/>
            <family val="2"/>
          </rPr>
          <t xml:space="preserve"> invasion</t>
        </r>
        <r>
          <rPr>
            <sz val="9"/>
            <color indexed="81"/>
            <rFont val="돋움"/>
            <family val="3"/>
            <charset val="129"/>
          </rPr>
          <t>한</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아닌가</t>
        </r>
        <r>
          <rPr>
            <sz val="9"/>
            <color indexed="81"/>
            <rFont val="Tahoma"/>
            <family val="2"/>
          </rPr>
          <t xml:space="preserve"> </t>
        </r>
        <r>
          <rPr>
            <sz val="9"/>
            <color indexed="81"/>
            <rFont val="돋움"/>
            <family val="3"/>
            <charset val="129"/>
          </rPr>
          <t>싶어서</t>
        </r>
        <r>
          <rPr>
            <sz val="9"/>
            <color indexed="81"/>
            <rFont val="Tahoma"/>
            <family val="2"/>
          </rPr>
          <t>.</t>
        </r>
      </text>
    </comment>
    <comment ref="AF3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SCL</t>
        </r>
      </text>
    </comment>
    <comment ref="AZ3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t>
        </r>
        <r>
          <rPr>
            <sz val="9"/>
            <color indexed="81"/>
            <rFont val="돋움"/>
            <family val="3"/>
            <charset val="129"/>
          </rPr>
          <t>는</t>
        </r>
        <r>
          <rPr>
            <sz val="9"/>
            <color indexed="81"/>
            <rFont val="Tahoma"/>
            <family val="2"/>
          </rPr>
          <t xml:space="preserve"> 1.0, LN</t>
        </r>
        <r>
          <rPr>
            <sz val="9"/>
            <color indexed="81"/>
            <rFont val="돋움"/>
            <family val="3"/>
            <charset val="129"/>
          </rPr>
          <t>는</t>
        </r>
        <r>
          <rPr>
            <sz val="9"/>
            <color indexed="81"/>
            <rFont val="Tahoma"/>
            <family val="2"/>
          </rPr>
          <t xml:space="preserve"> 0.7</t>
        </r>
      </text>
    </comment>
    <comment ref="FT3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cough - </t>
        </r>
        <r>
          <rPr>
            <sz val="9"/>
            <color indexed="81"/>
            <rFont val="돋움"/>
            <family val="3"/>
            <charset val="129"/>
          </rPr>
          <t>흉부외과</t>
        </r>
        <r>
          <rPr>
            <sz val="9"/>
            <color indexed="81"/>
            <rFont val="Tahoma"/>
            <family val="2"/>
          </rPr>
          <t xml:space="preserve"> 2018/6/11 </t>
        </r>
        <r>
          <rPr>
            <sz val="9"/>
            <color indexed="81"/>
            <rFont val="돋움"/>
            <family val="3"/>
            <charset val="129"/>
          </rPr>
          <t xml:space="preserve">기록
</t>
        </r>
        <r>
          <rPr>
            <sz val="9"/>
            <color indexed="81"/>
            <rFont val="Tahoma"/>
            <family val="2"/>
          </rPr>
          <t xml:space="preserve">dysphagia - </t>
        </r>
        <r>
          <rPr>
            <sz val="9"/>
            <color indexed="81"/>
            <rFont val="돋움"/>
            <family val="3"/>
            <charset val="129"/>
          </rPr>
          <t>폐암센터흉부외과</t>
        </r>
        <r>
          <rPr>
            <sz val="9"/>
            <color indexed="81"/>
            <rFont val="Tahoma"/>
            <family val="2"/>
          </rPr>
          <t xml:space="preserve"> 2018/8/1,</t>
        </r>
        <r>
          <rPr>
            <sz val="9"/>
            <color indexed="81"/>
            <rFont val="Tahoma"/>
            <family val="2"/>
          </rPr>
          <t xml:space="preserve"> 2019/2/27 </t>
        </r>
        <r>
          <rPr>
            <sz val="9"/>
            <color indexed="81"/>
            <rFont val="돋움"/>
            <family val="3"/>
            <charset val="129"/>
          </rPr>
          <t xml:space="preserve">기록
</t>
        </r>
      </text>
    </comment>
    <comment ref="FT3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cough, reflux - 2015/10/21 </t>
        </r>
        <r>
          <rPr>
            <sz val="9"/>
            <color indexed="81"/>
            <rFont val="돋움"/>
            <family val="3"/>
            <charset val="129"/>
          </rPr>
          <t>흉부외과</t>
        </r>
        <r>
          <rPr>
            <sz val="9"/>
            <color indexed="81"/>
            <rFont val="Tahoma"/>
            <family val="2"/>
          </rPr>
          <t xml:space="preserve"> </t>
        </r>
        <r>
          <rPr>
            <sz val="9"/>
            <color indexed="81"/>
            <rFont val="돋움"/>
            <family val="3"/>
            <charset val="129"/>
          </rPr>
          <t xml:space="preserve">외래
</t>
        </r>
        <r>
          <rPr>
            <sz val="9"/>
            <color indexed="81"/>
            <rFont val="Tahoma"/>
            <family val="2"/>
          </rPr>
          <t xml:space="preserve">constrictive pericarditis - 2016/2/12 </t>
        </r>
        <r>
          <rPr>
            <sz val="9"/>
            <color indexed="81"/>
            <rFont val="돋움"/>
            <family val="3"/>
            <charset val="129"/>
          </rPr>
          <t>내과</t>
        </r>
        <r>
          <rPr>
            <sz val="9"/>
            <color indexed="81"/>
            <rFont val="Tahoma"/>
            <family val="2"/>
          </rPr>
          <t xml:space="preserve"> </t>
        </r>
        <r>
          <rPr>
            <sz val="9"/>
            <color indexed="81"/>
            <rFont val="돋움"/>
            <family val="3"/>
            <charset val="129"/>
          </rPr>
          <t>입원</t>
        </r>
        <r>
          <rPr>
            <sz val="9"/>
            <color indexed="81"/>
            <rFont val="Tahoma"/>
            <family val="2"/>
          </rPr>
          <t>/</t>
        </r>
        <r>
          <rPr>
            <sz val="9"/>
            <color indexed="81"/>
            <rFont val="돋움"/>
            <family val="3"/>
            <charset val="129"/>
          </rPr>
          <t>타과의뢰</t>
        </r>
        <r>
          <rPr>
            <sz val="9"/>
            <color indexed="81"/>
            <rFont val="Tahoma"/>
            <family val="2"/>
          </rPr>
          <t xml:space="preserve"> </t>
        </r>
        <r>
          <rPr>
            <sz val="9"/>
            <color indexed="81"/>
            <rFont val="돋움"/>
            <family val="3"/>
            <charset val="129"/>
          </rPr>
          <t>기록</t>
        </r>
        <r>
          <rPr>
            <sz val="9"/>
            <color indexed="81"/>
            <rFont val="Tahoma"/>
            <family val="2"/>
          </rPr>
          <t>. d/t RT or chemo?</t>
        </r>
      </text>
    </comment>
    <comment ref="P4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타원</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본원에서는</t>
        </r>
        <r>
          <rPr>
            <sz val="9"/>
            <color indexed="81"/>
            <rFont val="Tahoma"/>
            <family val="2"/>
          </rPr>
          <t xml:space="preserve"> squamous dysplasia</t>
        </r>
        <r>
          <rPr>
            <sz val="9"/>
            <color indexed="81"/>
            <rFont val="돋움"/>
            <family val="3"/>
            <charset val="129"/>
          </rPr>
          <t>로</t>
        </r>
        <r>
          <rPr>
            <sz val="9"/>
            <color indexed="81"/>
            <rFont val="Tahoma"/>
            <family val="2"/>
          </rPr>
          <t xml:space="preserve"> </t>
        </r>
        <r>
          <rPr>
            <sz val="9"/>
            <color indexed="81"/>
            <rFont val="돋움"/>
            <family val="3"/>
            <charset val="129"/>
          </rPr>
          <t>나왔었다</t>
        </r>
        <r>
          <rPr>
            <sz val="9"/>
            <color indexed="81"/>
            <rFont val="Tahoma"/>
            <family val="2"/>
          </rPr>
          <t>. (</t>
        </r>
        <r>
          <rPr>
            <sz val="9"/>
            <color indexed="81"/>
            <rFont val="돋움"/>
            <family val="3"/>
            <charset val="129"/>
          </rPr>
          <t>일부</t>
        </r>
        <r>
          <rPr>
            <sz val="9"/>
            <color indexed="81"/>
            <rFont val="Tahoma"/>
            <family val="2"/>
          </rPr>
          <t xml:space="preserve"> slide</t>
        </r>
        <r>
          <rPr>
            <sz val="9"/>
            <color indexed="81"/>
            <rFont val="돋움"/>
            <family val="3"/>
            <charset val="129"/>
          </rPr>
          <t>만</t>
        </r>
        <r>
          <rPr>
            <sz val="9"/>
            <color indexed="81"/>
            <rFont val="Tahoma"/>
            <family val="2"/>
          </rPr>
          <t xml:space="preserve"> </t>
        </r>
        <r>
          <rPr>
            <sz val="9"/>
            <color indexed="81"/>
            <rFont val="돋움"/>
            <family val="3"/>
            <charset val="129"/>
          </rPr>
          <t>봐서</t>
        </r>
        <r>
          <rPr>
            <sz val="9"/>
            <color indexed="81"/>
            <rFont val="Tahoma"/>
            <family val="2"/>
          </rPr>
          <t xml:space="preserve"> </t>
        </r>
        <r>
          <rPr>
            <sz val="9"/>
            <color indexed="81"/>
            <rFont val="돋움"/>
            <family val="3"/>
            <charset val="129"/>
          </rPr>
          <t>그럴지도</t>
        </r>
        <r>
          <rPr>
            <sz val="9"/>
            <color indexed="81"/>
            <rFont val="Tahoma"/>
            <family val="2"/>
          </rPr>
          <t>…)</t>
        </r>
      </text>
    </comment>
    <comment ref="Y4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애매하네</t>
        </r>
        <r>
          <rPr>
            <sz val="9"/>
            <color indexed="81"/>
            <rFont val="Tahoma"/>
            <family val="2"/>
          </rPr>
          <t>...</t>
        </r>
      </text>
    </comment>
    <comment ref="CC40" authorId="1" shapeId="0">
      <text>
        <r>
          <rPr>
            <b/>
            <sz val="9"/>
            <color rgb="FF000000"/>
            <rFont val="Tahoma"/>
            <family val="2"/>
          </rPr>
          <t>SNUH:</t>
        </r>
        <r>
          <rPr>
            <sz val="9"/>
            <color rgb="FF000000"/>
            <rFont val="Tahoma"/>
            <family val="2"/>
          </rPr>
          <t xml:space="preserve">
</t>
        </r>
        <r>
          <rPr>
            <sz val="9"/>
            <color rgb="FF000000"/>
            <rFont val="Tahoma"/>
            <family val="2"/>
          </rPr>
          <t xml:space="preserve">o/s PET, </t>
        </r>
        <r>
          <rPr>
            <sz val="9"/>
            <color rgb="FF000000"/>
            <rFont val="돋움"/>
            <family val="2"/>
            <charset val="129"/>
          </rPr>
          <t>판독지</t>
        </r>
        <r>
          <rPr>
            <sz val="9"/>
            <color rgb="FF000000"/>
            <rFont val="Tahoma"/>
            <family val="2"/>
          </rPr>
          <t xml:space="preserve"> </t>
        </r>
        <r>
          <rPr>
            <sz val="9"/>
            <color rgb="FF000000"/>
            <rFont val="돋움"/>
            <family val="2"/>
            <charset val="129"/>
          </rPr>
          <t>없음</t>
        </r>
      </text>
    </comment>
    <comment ref="AN4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text>
    </comment>
    <comment ref="AO4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SCL </t>
        </r>
        <r>
          <rPr>
            <sz val="9"/>
            <color indexed="81"/>
            <rFont val="돋움"/>
            <family val="3"/>
            <charset val="129"/>
          </rPr>
          <t>일부</t>
        </r>
      </text>
    </comment>
    <comment ref="AX4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이거</t>
        </r>
        <r>
          <rPr>
            <sz val="9"/>
            <color indexed="81"/>
            <rFont val="Tahoma"/>
            <family val="2"/>
          </rPr>
          <t xml:space="preserve"> GTV -&gt; PTV</t>
        </r>
        <r>
          <rPr>
            <sz val="9"/>
            <color indexed="81"/>
            <rFont val="돋움"/>
            <family val="3"/>
            <charset val="129"/>
          </rPr>
          <t>로</t>
        </r>
        <r>
          <rPr>
            <sz val="9"/>
            <color indexed="81"/>
            <rFont val="Tahoma"/>
            <family val="2"/>
          </rPr>
          <t xml:space="preserve"> </t>
        </r>
        <r>
          <rPr>
            <sz val="9"/>
            <color indexed="81"/>
            <rFont val="돋움"/>
            <family val="3"/>
            <charset val="129"/>
          </rPr>
          <t>바로</t>
        </r>
        <r>
          <rPr>
            <sz val="9"/>
            <color indexed="81"/>
            <rFont val="Tahoma"/>
            <family val="2"/>
          </rPr>
          <t xml:space="preserve"> </t>
        </r>
        <r>
          <rPr>
            <sz val="9"/>
            <color indexed="81"/>
            <rFont val="돋움"/>
            <family val="3"/>
            <charset val="129"/>
          </rPr>
          <t>갔던</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애매하다</t>
        </r>
        <r>
          <rPr>
            <sz val="9"/>
            <color indexed="81"/>
            <rFont val="Tahoma"/>
            <family val="2"/>
          </rPr>
          <t xml:space="preserve">. GTV SI +2.0cm, radial 1.0cm </t>
        </r>
        <r>
          <rPr>
            <sz val="9"/>
            <color indexed="81"/>
            <rFont val="돋움"/>
            <family val="3"/>
            <charset val="129"/>
          </rPr>
          <t>해서</t>
        </r>
        <r>
          <rPr>
            <sz val="9"/>
            <color indexed="81"/>
            <rFont val="Tahoma"/>
            <family val="2"/>
          </rPr>
          <t xml:space="preserve"> </t>
        </r>
        <r>
          <rPr>
            <sz val="9"/>
            <color indexed="81"/>
            <rFont val="돋움"/>
            <family val="3"/>
            <charset val="129"/>
          </rPr>
          <t>바로</t>
        </r>
        <r>
          <rPr>
            <sz val="9"/>
            <color indexed="81"/>
            <rFont val="Tahoma"/>
            <family val="2"/>
          </rPr>
          <t xml:space="preserve"> PTV </t>
        </r>
        <r>
          <rPr>
            <sz val="9"/>
            <color indexed="81"/>
            <rFont val="돋움"/>
            <family val="3"/>
            <charset val="129"/>
          </rPr>
          <t>생성한</t>
        </r>
        <r>
          <rPr>
            <sz val="9"/>
            <color indexed="81"/>
            <rFont val="Tahoma"/>
            <family val="2"/>
          </rPr>
          <t xml:space="preserve"> </t>
        </r>
        <r>
          <rPr>
            <sz val="9"/>
            <color indexed="81"/>
            <rFont val="돋움"/>
            <family val="3"/>
            <charset val="129"/>
          </rPr>
          <t>것으로</t>
        </r>
        <r>
          <rPr>
            <sz val="9"/>
            <color indexed="81"/>
            <rFont val="Tahoma"/>
            <family val="2"/>
          </rPr>
          <t xml:space="preserve"> </t>
        </r>
        <r>
          <rPr>
            <sz val="9"/>
            <color indexed="81"/>
            <rFont val="돋움"/>
            <family val="3"/>
            <charset val="129"/>
          </rPr>
          <t>보인다</t>
        </r>
        <r>
          <rPr>
            <sz val="9"/>
            <color indexed="81"/>
            <rFont val="Tahoma"/>
            <family val="2"/>
          </rPr>
          <t>.</t>
        </r>
      </text>
    </comment>
    <comment ref="AZ4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기록이</t>
        </r>
        <r>
          <rPr>
            <sz val="9"/>
            <color indexed="81"/>
            <rFont val="Tahoma"/>
            <family val="2"/>
          </rPr>
          <t xml:space="preserve"> </t>
        </r>
        <r>
          <rPr>
            <sz val="9"/>
            <color indexed="81"/>
            <rFont val="돋움"/>
            <family val="3"/>
            <charset val="129"/>
          </rPr>
          <t>누락되었는데</t>
        </r>
        <r>
          <rPr>
            <sz val="9"/>
            <color indexed="81"/>
            <rFont val="Tahoma"/>
            <family val="2"/>
          </rPr>
          <t xml:space="preserve"> plan </t>
        </r>
        <r>
          <rPr>
            <sz val="9"/>
            <color indexed="81"/>
            <rFont val="돋움"/>
            <family val="3"/>
            <charset val="129"/>
          </rPr>
          <t>보니</t>
        </r>
        <r>
          <rPr>
            <sz val="9"/>
            <color indexed="81"/>
            <rFont val="Tahoma"/>
            <family val="2"/>
          </rPr>
          <t xml:space="preserve"> 1.0cm </t>
        </r>
        <r>
          <rPr>
            <sz val="9"/>
            <color indexed="81"/>
            <rFont val="돋움"/>
            <family val="3"/>
            <charset val="129"/>
          </rPr>
          <t>가량</t>
        </r>
        <r>
          <rPr>
            <sz val="9"/>
            <color indexed="81"/>
            <rFont val="Tahoma"/>
            <family val="2"/>
          </rPr>
          <t xml:space="preserve"> </t>
        </r>
        <r>
          <rPr>
            <sz val="9"/>
            <color indexed="81"/>
            <rFont val="돋움"/>
            <family val="3"/>
            <charset val="129"/>
          </rPr>
          <t>되는</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같다</t>
        </r>
        <r>
          <rPr>
            <sz val="9"/>
            <color indexed="81"/>
            <rFont val="Tahoma"/>
            <family val="2"/>
          </rPr>
          <t>.</t>
        </r>
      </text>
    </comment>
    <comment ref="CD41" authorId="1" shapeId="0">
      <text>
        <r>
          <rPr>
            <b/>
            <sz val="9"/>
            <color indexed="81"/>
            <rFont val="Tahoma"/>
            <family val="2"/>
          </rPr>
          <t>SNUH:</t>
        </r>
        <r>
          <rPr>
            <sz val="9"/>
            <color indexed="81"/>
            <rFont val="Tahoma"/>
            <family val="2"/>
          </rPr>
          <t xml:space="preserve">
"</t>
        </r>
        <r>
          <rPr>
            <sz val="9"/>
            <color indexed="81"/>
            <rFont val="돋움"/>
            <family val="3"/>
            <charset val="129"/>
          </rPr>
          <t>이전에</t>
        </r>
        <r>
          <rPr>
            <sz val="9"/>
            <color indexed="81"/>
            <rFont val="Tahoma"/>
            <family val="2"/>
          </rPr>
          <t xml:space="preserve"> </t>
        </r>
        <r>
          <rPr>
            <sz val="9"/>
            <color indexed="81"/>
            <rFont val="돋움"/>
            <family val="3"/>
            <charset val="129"/>
          </rPr>
          <t>관찰되던</t>
        </r>
        <r>
          <rPr>
            <sz val="9"/>
            <color indexed="81"/>
            <rFont val="Tahoma"/>
            <family val="2"/>
          </rPr>
          <t xml:space="preserve"> mid thorax</t>
        </r>
        <r>
          <rPr>
            <sz val="9"/>
            <color indexed="81"/>
            <rFont val="돋움"/>
            <family val="3"/>
            <charset val="129"/>
          </rPr>
          <t>의</t>
        </r>
        <r>
          <rPr>
            <sz val="9"/>
            <color indexed="81"/>
            <rFont val="Tahoma"/>
            <family val="2"/>
          </rPr>
          <t xml:space="preserve"> esophageal lesion</t>
        </r>
        <r>
          <rPr>
            <sz val="9"/>
            <color indexed="81"/>
            <rFont val="돋움"/>
            <family val="3"/>
            <charset val="129"/>
          </rPr>
          <t>은</t>
        </r>
        <r>
          <rPr>
            <sz val="9"/>
            <color indexed="81"/>
            <rFont val="Tahoma"/>
            <family val="2"/>
          </rPr>
          <t xml:space="preserve"> thickening</t>
        </r>
        <r>
          <rPr>
            <sz val="9"/>
            <color indexed="81"/>
            <rFont val="돋움"/>
            <family val="3"/>
            <charset val="129"/>
          </rPr>
          <t>이</t>
        </r>
        <r>
          <rPr>
            <sz val="9"/>
            <color indexed="81"/>
            <rFont val="Tahoma"/>
            <family val="2"/>
          </rPr>
          <t xml:space="preserve"> </t>
        </r>
        <r>
          <rPr>
            <sz val="9"/>
            <color indexed="81"/>
            <rFont val="돋움"/>
            <family val="3"/>
            <charset val="129"/>
          </rPr>
          <t>감소하였고</t>
        </r>
        <r>
          <rPr>
            <sz val="9"/>
            <color indexed="81"/>
            <rFont val="Tahoma"/>
            <family val="2"/>
          </rPr>
          <t xml:space="preserve"> glucose metabolism</t>
        </r>
        <r>
          <rPr>
            <sz val="9"/>
            <color indexed="81"/>
            <rFont val="돋움"/>
            <family val="3"/>
            <charset val="129"/>
          </rPr>
          <t>이</t>
        </r>
        <r>
          <rPr>
            <sz val="9"/>
            <color indexed="81"/>
            <rFont val="Tahoma"/>
            <family val="2"/>
          </rPr>
          <t xml:space="preserve"> </t>
        </r>
        <r>
          <rPr>
            <sz val="9"/>
            <color indexed="81"/>
            <rFont val="돋움"/>
            <family val="3"/>
            <charset val="129"/>
          </rPr>
          <t>정상화됨</t>
        </r>
        <r>
          <rPr>
            <sz val="9"/>
            <color indexed="81"/>
            <rFont val="Tahoma"/>
            <family val="2"/>
          </rPr>
          <t xml:space="preserve">." SUV </t>
        </r>
        <r>
          <rPr>
            <sz val="9"/>
            <color indexed="81"/>
            <rFont val="돋움"/>
            <family val="3"/>
            <charset val="129"/>
          </rPr>
          <t>보고되지</t>
        </r>
        <r>
          <rPr>
            <sz val="9"/>
            <color indexed="81"/>
            <rFont val="Tahoma"/>
            <family val="2"/>
          </rPr>
          <t xml:space="preserve"> </t>
        </r>
        <r>
          <rPr>
            <sz val="9"/>
            <color indexed="81"/>
            <rFont val="돋움"/>
            <family val="3"/>
            <charset val="129"/>
          </rPr>
          <t>않음</t>
        </r>
      </text>
    </comment>
    <comment ref="FT4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2015/1/7, 2014/4/2 </t>
        </r>
        <r>
          <rPr>
            <sz val="9"/>
            <color indexed="81"/>
            <rFont val="돋움"/>
            <family val="3"/>
            <charset val="129"/>
          </rPr>
          <t>흉부외과</t>
        </r>
        <r>
          <rPr>
            <sz val="9"/>
            <color indexed="81"/>
            <rFont val="Tahoma"/>
            <family val="2"/>
          </rPr>
          <t xml:space="preserve"> </t>
        </r>
        <r>
          <rPr>
            <sz val="9"/>
            <color indexed="81"/>
            <rFont val="돋움"/>
            <family val="3"/>
            <charset val="129"/>
          </rPr>
          <t>기록에</t>
        </r>
        <r>
          <rPr>
            <sz val="9"/>
            <color indexed="81"/>
            <rFont val="Tahoma"/>
            <family val="2"/>
          </rPr>
          <t xml:space="preserve"> reflux
2016/4/6 </t>
        </r>
        <r>
          <rPr>
            <sz val="9"/>
            <color indexed="81"/>
            <rFont val="돋움"/>
            <family val="3"/>
            <charset val="129"/>
          </rPr>
          <t>흉부외과</t>
        </r>
        <r>
          <rPr>
            <sz val="9"/>
            <color indexed="81"/>
            <rFont val="Tahoma"/>
            <family val="2"/>
          </rPr>
          <t xml:space="preserve"> </t>
        </r>
        <r>
          <rPr>
            <sz val="9"/>
            <color indexed="81"/>
            <rFont val="돋움"/>
            <family val="3"/>
            <charset val="129"/>
          </rPr>
          <t>기록에</t>
        </r>
        <r>
          <rPr>
            <sz val="9"/>
            <color indexed="81"/>
            <rFont val="Tahoma"/>
            <family val="2"/>
          </rPr>
          <t xml:space="preserve"> epigastric pain</t>
        </r>
        <r>
          <rPr>
            <sz val="9"/>
            <color indexed="81"/>
            <rFont val="돋움"/>
            <family val="3"/>
            <charset val="129"/>
          </rPr>
          <t>이</t>
        </r>
        <r>
          <rPr>
            <sz val="9"/>
            <color indexed="81"/>
            <rFont val="Tahoma"/>
            <family val="2"/>
          </rPr>
          <t xml:space="preserve"> </t>
        </r>
        <r>
          <rPr>
            <sz val="9"/>
            <color indexed="81"/>
            <rFont val="돋움"/>
            <family val="3"/>
            <charset val="129"/>
          </rPr>
          <t>지속된다는</t>
        </r>
        <r>
          <rPr>
            <sz val="9"/>
            <color indexed="81"/>
            <rFont val="Tahoma"/>
            <family val="2"/>
          </rPr>
          <t xml:space="preserve"> </t>
        </r>
        <r>
          <rPr>
            <sz val="9"/>
            <color indexed="81"/>
            <rFont val="돋움"/>
            <family val="3"/>
            <charset val="129"/>
          </rPr>
          <t>언급</t>
        </r>
        <r>
          <rPr>
            <sz val="9"/>
            <color indexed="81"/>
            <rFont val="Tahoma"/>
            <family val="2"/>
          </rPr>
          <t xml:space="preserve">
2016/10/5 </t>
        </r>
        <r>
          <rPr>
            <sz val="9"/>
            <color indexed="81"/>
            <rFont val="돋움"/>
            <family val="3"/>
            <charset val="129"/>
          </rPr>
          <t>흉부외과</t>
        </r>
        <r>
          <rPr>
            <sz val="9"/>
            <color indexed="81"/>
            <rFont val="Tahoma"/>
            <family val="2"/>
          </rPr>
          <t xml:space="preserve"> </t>
        </r>
        <r>
          <rPr>
            <sz val="9"/>
            <color indexed="81"/>
            <rFont val="돋움"/>
            <family val="3"/>
            <charset val="129"/>
          </rPr>
          <t>기록</t>
        </r>
        <r>
          <rPr>
            <sz val="9"/>
            <color indexed="81"/>
            <rFont val="Tahoma"/>
            <family val="2"/>
          </rPr>
          <t xml:space="preserve"> anorexia </t>
        </r>
        <r>
          <rPr>
            <sz val="9"/>
            <color indexed="81"/>
            <rFont val="돋움"/>
            <family val="3"/>
            <charset val="129"/>
          </rPr>
          <t>및</t>
        </r>
        <r>
          <rPr>
            <sz val="9"/>
            <color indexed="81"/>
            <rFont val="Tahoma"/>
            <family val="2"/>
          </rPr>
          <t xml:space="preserve"> </t>
        </r>
        <r>
          <rPr>
            <sz val="9"/>
            <color indexed="81"/>
            <rFont val="돋움"/>
            <family val="3"/>
            <charset val="129"/>
          </rPr>
          <t>정체불명의</t>
        </r>
        <r>
          <rPr>
            <sz val="9"/>
            <color indexed="81"/>
            <rFont val="Tahoma"/>
            <family val="2"/>
          </rPr>
          <t xml:space="preserve"> </t>
        </r>
        <r>
          <rPr>
            <sz val="9"/>
            <color indexed="81"/>
            <rFont val="돋움"/>
            <family val="3"/>
            <charset val="129"/>
          </rPr>
          <t>증상들</t>
        </r>
        <r>
          <rPr>
            <sz val="9"/>
            <color indexed="81"/>
            <rFont val="Tahoma"/>
            <family val="2"/>
          </rPr>
          <t xml:space="preserve"> </t>
        </r>
        <r>
          <rPr>
            <sz val="9"/>
            <color indexed="81"/>
            <rFont val="돋움"/>
            <family val="3"/>
            <charset val="129"/>
          </rPr>
          <t>기록됨</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후에는</t>
        </r>
        <r>
          <rPr>
            <sz val="9"/>
            <color indexed="81"/>
            <rFont val="Tahoma"/>
            <family val="2"/>
          </rPr>
          <t xml:space="preserve"> </t>
        </r>
        <r>
          <rPr>
            <sz val="9"/>
            <color indexed="81"/>
            <rFont val="돋움"/>
            <family val="3"/>
            <charset val="129"/>
          </rPr>
          <t>또</t>
        </r>
        <r>
          <rPr>
            <sz val="9"/>
            <color indexed="81"/>
            <rFont val="Tahoma"/>
            <family val="2"/>
          </rPr>
          <t xml:space="preserve"> </t>
        </r>
        <r>
          <rPr>
            <sz val="9"/>
            <color indexed="81"/>
            <rFont val="돋움"/>
            <family val="3"/>
            <charset val="129"/>
          </rPr>
          <t>괜찮음</t>
        </r>
        <r>
          <rPr>
            <sz val="9"/>
            <color indexed="81"/>
            <rFont val="Tahoma"/>
            <family val="2"/>
          </rPr>
          <t xml:space="preserve">.
CT </t>
        </r>
        <r>
          <rPr>
            <sz val="9"/>
            <color indexed="81"/>
            <rFont val="돋움"/>
            <family val="3"/>
            <charset val="129"/>
          </rPr>
          <t>상에서</t>
        </r>
        <r>
          <rPr>
            <sz val="9"/>
            <color indexed="81"/>
            <rFont val="Tahoma"/>
            <family val="2"/>
          </rPr>
          <t xml:space="preserve"> </t>
        </r>
        <r>
          <rPr>
            <sz val="9"/>
            <color indexed="81"/>
            <rFont val="돋움"/>
            <family val="3"/>
            <charset val="129"/>
          </rPr>
          <t>나타나는</t>
        </r>
        <r>
          <rPr>
            <sz val="9"/>
            <color indexed="81"/>
            <rFont val="Tahoma"/>
            <family val="2"/>
          </rPr>
          <t xml:space="preserve"> RUL fibrosis, </t>
        </r>
        <r>
          <rPr>
            <sz val="9"/>
            <color indexed="81"/>
            <rFont val="돋움"/>
            <family val="3"/>
            <charset val="129"/>
          </rPr>
          <t>관련</t>
        </r>
        <r>
          <rPr>
            <sz val="9"/>
            <color indexed="81"/>
            <rFont val="Tahoma"/>
            <family val="2"/>
          </rPr>
          <t xml:space="preserve"> </t>
        </r>
        <r>
          <rPr>
            <sz val="9"/>
            <color indexed="81"/>
            <rFont val="돋움"/>
            <family val="3"/>
            <charset val="129"/>
          </rPr>
          <t>증상은</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모르겠음</t>
        </r>
        <r>
          <rPr>
            <sz val="9"/>
            <color indexed="81"/>
            <rFont val="Tahoma"/>
            <family val="2"/>
          </rPr>
          <t>.</t>
        </r>
      </text>
    </comment>
    <comment ref="FU4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2013</t>
        </r>
        <r>
          <rPr>
            <sz val="9"/>
            <color indexed="81"/>
            <rFont val="돋움"/>
            <family val="3"/>
            <charset val="129"/>
          </rPr>
          <t>년</t>
        </r>
        <r>
          <rPr>
            <sz val="9"/>
            <color indexed="81"/>
            <rFont val="Tahoma"/>
            <family val="2"/>
          </rPr>
          <t xml:space="preserve"> 10</t>
        </r>
        <r>
          <rPr>
            <sz val="9"/>
            <color indexed="81"/>
            <rFont val="돋움"/>
            <family val="3"/>
            <charset val="129"/>
          </rPr>
          <t>월</t>
        </r>
        <r>
          <rPr>
            <sz val="9"/>
            <color indexed="81"/>
            <rFont val="Tahoma"/>
            <family val="2"/>
          </rPr>
          <t xml:space="preserve"> 22</t>
        </r>
        <r>
          <rPr>
            <sz val="9"/>
            <color indexed="81"/>
            <rFont val="돋움"/>
            <family val="3"/>
            <charset val="129"/>
          </rPr>
          <t>일</t>
        </r>
        <r>
          <rPr>
            <sz val="9"/>
            <color indexed="81"/>
            <rFont val="Tahoma"/>
            <family val="2"/>
          </rPr>
          <t xml:space="preserve"> EGD</t>
        </r>
        <r>
          <rPr>
            <sz val="9"/>
            <color indexed="81"/>
            <rFont val="돋움"/>
            <family val="3"/>
            <charset val="129"/>
          </rPr>
          <t>때는</t>
        </r>
        <r>
          <rPr>
            <sz val="9"/>
            <color indexed="81"/>
            <rFont val="Tahoma"/>
            <family val="2"/>
          </rPr>
          <t xml:space="preserve"> Incisor 30cm </t>
        </r>
        <r>
          <rPr>
            <sz val="9"/>
            <color indexed="81"/>
            <rFont val="돋움"/>
            <family val="3"/>
            <charset val="129"/>
          </rPr>
          <t>하방에</t>
        </r>
        <r>
          <rPr>
            <sz val="9"/>
            <color indexed="81"/>
            <rFont val="Tahoma"/>
            <family val="2"/>
          </rPr>
          <t xml:space="preserve"> fibrotic stricture</t>
        </r>
        <r>
          <rPr>
            <sz val="9"/>
            <color indexed="81"/>
            <rFont val="돋움"/>
            <family val="3"/>
            <charset val="129"/>
          </rPr>
          <t>이</t>
        </r>
        <r>
          <rPr>
            <sz val="9"/>
            <color indexed="81"/>
            <rFont val="Tahoma"/>
            <family val="2"/>
          </rPr>
          <t xml:space="preserve"> </t>
        </r>
        <r>
          <rPr>
            <sz val="9"/>
            <color indexed="81"/>
            <rFont val="돋움"/>
            <family val="3"/>
            <charset val="129"/>
          </rPr>
          <t>있어서</t>
        </r>
        <r>
          <rPr>
            <sz val="9"/>
            <color indexed="81"/>
            <rFont val="Tahoma"/>
            <family val="2"/>
          </rPr>
          <t xml:space="preserve"> scope </t>
        </r>
        <r>
          <rPr>
            <sz val="9"/>
            <color indexed="81"/>
            <rFont val="돋움"/>
            <family val="3"/>
            <charset val="129"/>
          </rPr>
          <t>통과</t>
        </r>
        <r>
          <rPr>
            <sz val="9"/>
            <color indexed="81"/>
            <rFont val="Tahoma"/>
            <family val="2"/>
          </rPr>
          <t xml:space="preserve"> </t>
        </r>
        <r>
          <rPr>
            <sz val="9"/>
            <color indexed="81"/>
            <rFont val="돋움"/>
            <family val="3"/>
            <charset val="129"/>
          </rPr>
          <t>불과했다는</t>
        </r>
        <r>
          <rPr>
            <sz val="9"/>
            <color indexed="81"/>
            <rFont val="Tahoma"/>
            <family val="2"/>
          </rPr>
          <t xml:space="preserve"> </t>
        </r>
        <r>
          <rPr>
            <sz val="9"/>
            <color indexed="81"/>
            <rFont val="돋움"/>
            <family val="3"/>
            <charset val="129"/>
          </rPr>
          <t>언급이</t>
        </r>
        <r>
          <rPr>
            <sz val="9"/>
            <color indexed="81"/>
            <rFont val="Tahoma"/>
            <family val="2"/>
          </rPr>
          <t xml:space="preserve"> </t>
        </r>
        <r>
          <rPr>
            <sz val="9"/>
            <color indexed="81"/>
            <rFont val="돋움"/>
            <family val="3"/>
            <charset val="129"/>
          </rPr>
          <t>있음</t>
        </r>
        <r>
          <rPr>
            <sz val="9"/>
            <color indexed="81"/>
            <rFont val="Tahoma"/>
            <family val="2"/>
          </rPr>
          <t xml:space="preserve">. </t>
        </r>
        <r>
          <rPr>
            <sz val="9"/>
            <color indexed="81"/>
            <rFont val="돋움"/>
            <family val="3"/>
            <charset val="129"/>
          </rPr>
          <t>이후</t>
        </r>
        <r>
          <rPr>
            <sz val="9"/>
            <color indexed="81"/>
            <rFont val="Tahoma"/>
            <family val="2"/>
          </rPr>
          <t xml:space="preserve"> EGD</t>
        </r>
        <r>
          <rPr>
            <sz val="9"/>
            <color indexed="81"/>
            <rFont val="돋움"/>
            <family val="3"/>
            <charset val="129"/>
          </rPr>
          <t>는</t>
        </r>
        <r>
          <rPr>
            <sz val="9"/>
            <color indexed="81"/>
            <rFont val="Tahoma"/>
            <family val="2"/>
          </rPr>
          <t xml:space="preserve"> </t>
        </r>
        <r>
          <rPr>
            <sz val="9"/>
            <color indexed="81"/>
            <rFont val="돋움"/>
            <family val="3"/>
            <charset val="129"/>
          </rPr>
          <t>정상</t>
        </r>
        <r>
          <rPr>
            <sz val="9"/>
            <color indexed="81"/>
            <rFont val="Tahoma"/>
            <family val="2"/>
          </rPr>
          <t xml:space="preserve"> </t>
        </r>
        <r>
          <rPr>
            <sz val="9"/>
            <color indexed="81"/>
            <rFont val="돋움"/>
            <family val="3"/>
            <charset val="129"/>
          </rPr>
          <t>시행함</t>
        </r>
        <r>
          <rPr>
            <sz val="9"/>
            <color indexed="81"/>
            <rFont val="Tahoma"/>
            <family val="2"/>
          </rPr>
          <t xml:space="preserve">. </t>
        </r>
        <r>
          <rPr>
            <sz val="9"/>
            <color indexed="81"/>
            <rFont val="돋움"/>
            <family val="3"/>
            <charset val="129"/>
          </rPr>
          <t>이는</t>
        </r>
        <r>
          <rPr>
            <sz val="9"/>
            <color indexed="81"/>
            <rFont val="Tahoma"/>
            <family val="2"/>
          </rPr>
          <t xml:space="preserve"> </t>
        </r>
        <r>
          <rPr>
            <sz val="9"/>
            <color indexed="81"/>
            <rFont val="돋움"/>
            <family val="3"/>
            <charset val="129"/>
          </rPr>
          <t>수술</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시행한</t>
        </r>
        <r>
          <rPr>
            <sz val="9"/>
            <color indexed="81"/>
            <rFont val="Tahoma"/>
            <family val="2"/>
          </rPr>
          <t xml:space="preserve"> EGD</t>
        </r>
        <r>
          <rPr>
            <sz val="9"/>
            <color indexed="81"/>
            <rFont val="돋움"/>
            <family val="3"/>
            <charset val="129"/>
          </rPr>
          <t>임</t>
        </r>
        <r>
          <rPr>
            <sz val="9"/>
            <color indexed="81"/>
            <rFont val="Tahoma"/>
            <family val="2"/>
          </rPr>
          <t>.</t>
        </r>
      </text>
    </comment>
    <comment ref="AF4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bilat scl</t>
        </r>
      </text>
    </comment>
    <comment ref="AN4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text>
    </comment>
    <comment ref="AO4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both SCL involvement </t>
        </r>
        <r>
          <rPr>
            <sz val="9"/>
            <color indexed="81"/>
            <rFont val="돋움"/>
            <family val="3"/>
            <charset val="129"/>
          </rPr>
          <t>있으니까</t>
        </r>
        <r>
          <rPr>
            <sz val="9"/>
            <color indexed="81"/>
            <rFont val="Tahoma"/>
            <family val="2"/>
          </rPr>
          <t>.</t>
        </r>
      </text>
    </comment>
    <comment ref="AU4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 3cm, inf 2cm</t>
        </r>
        <r>
          <rPr>
            <sz val="9"/>
            <color indexed="81"/>
            <rFont val="돋움"/>
            <family val="3"/>
            <charset val="129"/>
          </rPr>
          <t>으로</t>
        </r>
        <r>
          <rPr>
            <sz val="9"/>
            <color indexed="81"/>
            <rFont val="Tahoma"/>
            <family val="2"/>
          </rPr>
          <t xml:space="preserve"> </t>
        </r>
        <r>
          <rPr>
            <sz val="9"/>
            <color indexed="81"/>
            <rFont val="돋움"/>
            <family val="3"/>
            <charset val="129"/>
          </rPr>
          <t>보인다</t>
        </r>
        <r>
          <rPr>
            <sz val="9"/>
            <color indexed="81"/>
            <rFont val="Tahoma"/>
            <family val="2"/>
          </rPr>
          <t>.</t>
        </r>
      </text>
    </comment>
    <comment ref="AZ4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 mass: 0.5-1.0
LN: 0.5</t>
        </r>
      </text>
    </comment>
    <comment ref="BC4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가운데</t>
        </r>
        <r>
          <rPr>
            <sz val="9"/>
            <color indexed="81"/>
            <rFont val="Tahoma"/>
            <family val="2"/>
          </rPr>
          <t xml:space="preserve"> </t>
        </r>
        <r>
          <rPr>
            <sz val="9"/>
            <color indexed="81"/>
            <rFont val="돋움"/>
            <family val="3"/>
            <charset val="129"/>
          </rPr>
          <t>비는</t>
        </r>
        <r>
          <rPr>
            <sz val="9"/>
            <color indexed="81"/>
            <rFont val="Tahoma"/>
            <family val="2"/>
          </rPr>
          <t xml:space="preserve"> </t>
        </r>
        <r>
          <rPr>
            <sz val="9"/>
            <color indexed="81"/>
            <rFont val="돋움"/>
            <family val="3"/>
            <charset val="129"/>
          </rPr>
          <t>부분이</t>
        </r>
        <r>
          <rPr>
            <sz val="9"/>
            <color indexed="81"/>
            <rFont val="Tahoma"/>
            <family val="2"/>
          </rPr>
          <t xml:space="preserve"> </t>
        </r>
        <r>
          <rPr>
            <sz val="9"/>
            <color indexed="81"/>
            <rFont val="돋움"/>
            <family val="3"/>
            <charset val="129"/>
          </rPr>
          <t>있다</t>
        </r>
        <r>
          <rPr>
            <sz val="9"/>
            <color indexed="81"/>
            <rFont val="Tahoma"/>
            <family val="2"/>
          </rPr>
          <t>.</t>
        </r>
      </text>
    </comment>
    <comment ref="BD4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BU42" authorId="0" shapeId="0">
      <text>
        <r>
          <rPr>
            <b/>
            <sz val="9"/>
            <color indexed="81"/>
            <rFont val="Tahoma"/>
            <family val="2"/>
          </rPr>
          <t xml:space="preserve">Windows </t>
        </r>
        <r>
          <rPr>
            <b/>
            <sz val="9"/>
            <color indexed="81"/>
            <rFont val="돋움"/>
            <family val="3"/>
            <charset val="129"/>
          </rPr>
          <t>사용자</t>
        </r>
        <r>
          <rPr>
            <b/>
            <sz val="9"/>
            <color indexed="81"/>
            <rFont val="Tahoma"/>
            <family val="2"/>
          </rPr>
          <t xml:space="preserve">:
</t>
        </r>
        <r>
          <rPr>
            <sz val="9"/>
            <color indexed="81"/>
            <rFont val="Tahoma"/>
            <family val="2"/>
          </rPr>
          <t>wTC W5</t>
        </r>
        <r>
          <rPr>
            <sz val="9"/>
            <color indexed="81"/>
            <rFont val="돋움"/>
            <family val="3"/>
            <charset val="129"/>
          </rPr>
          <t>는</t>
        </r>
        <r>
          <rPr>
            <sz val="9"/>
            <color indexed="81"/>
            <rFont val="Tahoma"/>
            <family val="2"/>
          </rPr>
          <t xml:space="preserve"> </t>
        </r>
        <r>
          <rPr>
            <sz val="9"/>
            <color indexed="81"/>
            <rFont val="돋움"/>
            <family val="3"/>
            <charset val="129"/>
          </rPr>
          <t>생략했다</t>
        </r>
        <r>
          <rPr>
            <sz val="9"/>
            <color indexed="81"/>
            <rFont val="Tahoma"/>
            <family val="2"/>
          </rPr>
          <t>.</t>
        </r>
      </text>
    </comment>
    <comment ref="CD42" authorId="1" shapeId="0">
      <text>
        <r>
          <rPr>
            <b/>
            <sz val="9"/>
            <color indexed="81"/>
            <rFont val="Tahoma"/>
            <family val="2"/>
          </rPr>
          <t>SNUH:</t>
        </r>
        <r>
          <rPr>
            <sz val="9"/>
            <color indexed="81"/>
            <rFont val="Tahoma"/>
            <family val="2"/>
          </rPr>
          <t xml:space="preserve">
"Distal esophagus</t>
        </r>
        <r>
          <rPr>
            <sz val="9"/>
            <color indexed="81"/>
            <rFont val="돋움"/>
            <family val="3"/>
            <charset val="129"/>
          </rPr>
          <t>의</t>
        </r>
        <r>
          <rPr>
            <sz val="9"/>
            <color indexed="81"/>
            <rFont val="Tahoma"/>
            <family val="2"/>
          </rPr>
          <t xml:space="preserve"> mass</t>
        </r>
        <r>
          <rPr>
            <sz val="9"/>
            <color indexed="81"/>
            <rFont val="돋움"/>
            <family val="3"/>
            <charset val="129"/>
          </rPr>
          <t>의</t>
        </r>
        <r>
          <rPr>
            <sz val="9"/>
            <color indexed="81"/>
            <rFont val="Tahoma"/>
            <family val="2"/>
          </rPr>
          <t xml:space="preserve"> uptake</t>
        </r>
        <r>
          <rPr>
            <sz val="9"/>
            <color indexed="81"/>
            <rFont val="돋움"/>
            <family val="3"/>
            <charset val="129"/>
          </rPr>
          <t>는</t>
        </r>
        <r>
          <rPr>
            <sz val="9"/>
            <color indexed="81"/>
            <rFont val="Tahoma"/>
            <family val="2"/>
          </rPr>
          <t xml:space="preserve"> </t>
        </r>
        <r>
          <rPr>
            <sz val="9"/>
            <color indexed="81"/>
            <rFont val="돋움"/>
            <family val="3"/>
            <charset val="129"/>
          </rPr>
          <t>크게</t>
        </r>
        <r>
          <rPr>
            <sz val="9"/>
            <color indexed="81"/>
            <rFont val="Tahoma"/>
            <family val="2"/>
          </rPr>
          <t xml:space="preserve"> </t>
        </r>
        <r>
          <rPr>
            <sz val="9"/>
            <color indexed="81"/>
            <rFont val="돋움"/>
            <family val="3"/>
            <charset val="129"/>
          </rPr>
          <t>호전되어</t>
        </r>
        <r>
          <rPr>
            <sz val="9"/>
            <color indexed="81"/>
            <rFont val="Tahoma"/>
            <family val="2"/>
          </rPr>
          <t xml:space="preserve"> </t>
        </r>
        <r>
          <rPr>
            <sz val="9"/>
            <color indexed="81"/>
            <rFont val="돋움"/>
            <family val="3"/>
            <charset val="129"/>
          </rPr>
          <t>보이며</t>
        </r>
        <r>
          <rPr>
            <sz val="9"/>
            <color indexed="81"/>
            <rFont val="Tahoma"/>
            <family val="2"/>
          </rPr>
          <t xml:space="preserve"> </t>
        </r>
        <r>
          <rPr>
            <sz val="9"/>
            <color indexed="81"/>
            <rFont val="돋움"/>
            <family val="3"/>
            <charset val="129"/>
          </rPr>
          <t>현재</t>
        </r>
        <r>
          <rPr>
            <sz val="9"/>
            <color indexed="81"/>
            <rFont val="Tahoma"/>
            <family val="2"/>
          </rPr>
          <t xml:space="preserve"> distal esophagus wall</t>
        </r>
        <r>
          <rPr>
            <sz val="9"/>
            <color indexed="81"/>
            <rFont val="돋움"/>
            <family val="3"/>
            <charset val="129"/>
          </rPr>
          <t>에</t>
        </r>
        <r>
          <rPr>
            <sz val="9"/>
            <color indexed="81"/>
            <rFont val="Tahoma"/>
            <family val="2"/>
          </rPr>
          <t xml:space="preserve"> diffus </t>
        </r>
        <r>
          <rPr>
            <sz val="9"/>
            <color indexed="81"/>
            <rFont val="돋움"/>
            <family val="3"/>
            <charset val="129"/>
          </rPr>
          <t>하게</t>
        </r>
        <r>
          <rPr>
            <sz val="9"/>
            <color indexed="81"/>
            <rFont val="Tahoma"/>
            <family val="2"/>
          </rPr>
          <t xml:space="preserve"> </t>
        </r>
        <r>
          <rPr>
            <sz val="9"/>
            <color indexed="81"/>
            <rFont val="돋움"/>
            <family val="3"/>
            <charset val="129"/>
          </rPr>
          <t>관찰되는</t>
        </r>
        <r>
          <rPr>
            <sz val="9"/>
            <color indexed="81"/>
            <rFont val="Tahoma"/>
            <family val="2"/>
          </rPr>
          <t xml:space="preserve"> uptake</t>
        </r>
        <r>
          <rPr>
            <sz val="9"/>
            <color indexed="81"/>
            <rFont val="돋움"/>
            <family val="3"/>
            <charset val="129"/>
          </rPr>
          <t>는</t>
        </r>
        <r>
          <rPr>
            <sz val="9"/>
            <color indexed="81"/>
            <rFont val="Tahoma"/>
            <family val="2"/>
          </rPr>
          <t xml:space="preserve"> post-radiation change</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uptake</t>
        </r>
        <r>
          <rPr>
            <sz val="9"/>
            <color indexed="81"/>
            <rFont val="돋움"/>
            <family val="3"/>
            <charset val="129"/>
          </rPr>
          <t>가</t>
        </r>
        <r>
          <rPr>
            <sz val="9"/>
            <color indexed="81"/>
            <rFont val="Tahoma"/>
            <family val="2"/>
          </rPr>
          <t xml:space="preserve"> mix</t>
        </r>
        <r>
          <rPr>
            <sz val="9"/>
            <color indexed="81"/>
            <rFont val="돋움"/>
            <family val="3"/>
            <charset val="129"/>
          </rPr>
          <t>되어</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가능성이</t>
        </r>
        <r>
          <rPr>
            <sz val="9"/>
            <color indexed="81"/>
            <rFont val="Tahoma"/>
            <family val="2"/>
          </rPr>
          <t xml:space="preserve"> </t>
        </r>
        <r>
          <rPr>
            <sz val="9"/>
            <color indexed="81"/>
            <rFont val="돋움"/>
            <family val="3"/>
            <charset val="129"/>
          </rPr>
          <t>높아보임</t>
        </r>
        <r>
          <rPr>
            <sz val="9"/>
            <color indexed="81"/>
            <rFont val="Tahoma"/>
            <family val="2"/>
          </rPr>
          <t xml:space="preserve">.", SUV </t>
        </r>
        <r>
          <rPr>
            <sz val="9"/>
            <color indexed="81"/>
            <rFont val="돋움"/>
            <family val="3"/>
            <charset val="129"/>
          </rPr>
          <t>보고되지</t>
        </r>
        <r>
          <rPr>
            <sz val="9"/>
            <color indexed="81"/>
            <rFont val="Tahoma"/>
            <family val="2"/>
          </rPr>
          <t xml:space="preserve"> </t>
        </r>
        <r>
          <rPr>
            <sz val="9"/>
            <color indexed="81"/>
            <rFont val="돋움"/>
            <family val="3"/>
            <charset val="129"/>
          </rPr>
          <t>않음</t>
        </r>
      </text>
    </comment>
    <comment ref="DP4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in-field: Lt SCN, abd LNs </t>
        </r>
        <r>
          <rPr>
            <sz val="9"/>
            <color indexed="81"/>
            <rFont val="돋움"/>
            <family val="3"/>
            <charset val="129"/>
          </rPr>
          <t>일부</t>
        </r>
        <r>
          <rPr>
            <sz val="9"/>
            <color indexed="81"/>
            <rFont val="Tahoma"/>
            <family val="2"/>
          </rPr>
          <t xml:space="preserve">
out-field: abd LNs </t>
        </r>
        <r>
          <rPr>
            <sz val="9"/>
            <color indexed="81"/>
            <rFont val="돋움"/>
            <family val="3"/>
            <charset val="129"/>
          </rPr>
          <t xml:space="preserve">일부
</t>
        </r>
        <r>
          <rPr>
            <sz val="9"/>
            <color indexed="81"/>
            <rFont val="Tahoma"/>
            <family val="2"/>
          </rPr>
          <t xml:space="preserve">ditsal: PAN, common iliac </t>
        </r>
        <r>
          <rPr>
            <sz val="9"/>
            <color indexed="81"/>
            <rFont val="돋움"/>
            <family val="3"/>
            <charset val="129"/>
          </rPr>
          <t>등</t>
        </r>
      </text>
    </comment>
    <comment ref="FT4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aspiration tendency: 2017/2/13 </t>
        </r>
        <r>
          <rPr>
            <sz val="9"/>
            <color indexed="81"/>
            <rFont val="돋움"/>
            <family val="3"/>
            <charset val="129"/>
          </rPr>
          <t>내과</t>
        </r>
        <r>
          <rPr>
            <sz val="9"/>
            <color indexed="81"/>
            <rFont val="Tahoma"/>
            <family val="2"/>
          </rPr>
          <t xml:space="preserve"> </t>
        </r>
        <r>
          <rPr>
            <sz val="9"/>
            <color indexed="81"/>
            <rFont val="돋움"/>
            <family val="3"/>
            <charset val="129"/>
          </rPr>
          <t>외래</t>
        </r>
        <r>
          <rPr>
            <sz val="9"/>
            <color indexed="81"/>
            <rFont val="Tahoma"/>
            <family val="2"/>
          </rPr>
          <t xml:space="preserve">, 2016/7/13 </t>
        </r>
        <r>
          <rPr>
            <sz val="9"/>
            <color indexed="81"/>
            <rFont val="돋움"/>
            <family val="3"/>
            <charset val="129"/>
          </rPr>
          <t>흉부외과</t>
        </r>
        <r>
          <rPr>
            <sz val="9"/>
            <color indexed="81"/>
            <rFont val="Tahoma"/>
            <family val="2"/>
          </rPr>
          <t xml:space="preserve"> </t>
        </r>
        <r>
          <rPr>
            <sz val="9"/>
            <color indexed="81"/>
            <rFont val="돋움"/>
            <family val="3"/>
            <charset val="129"/>
          </rPr>
          <t xml:space="preserve">외래
</t>
        </r>
        <r>
          <rPr>
            <sz val="9"/>
            <color indexed="81"/>
            <rFont val="Tahoma"/>
            <family val="2"/>
          </rPr>
          <t xml:space="preserve">cough - 2016/4/20 </t>
        </r>
        <r>
          <rPr>
            <sz val="9"/>
            <color indexed="81"/>
            <rFont val="돋움"/>
            <family val="3"/>
            <charset val="129"/>
          </rPr>
          <t>흉부외과</t>
        </r>
        <r>
          <rPr>
            <sz val="9"/>
            <color indexed="81"/>
            <rFont val="Tahoma"/>
            <family val="2"/>
          </rPr>
          <t xml:space="preserve"> </t>
        </r>
        <r>
          <rPr>
            <sz val="9"/>
            <color indexed="81"/>
            <rFont val="돋움"/>
            <family val="3"/>
            <charset val="129"/>
          </rPr>
          <t>외래</t>
        </r>
      </text>
    </comment>
    <comment ref="X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r/o brain meta</t>
        </r>
        <r>
          <rPr>
            <sz val="9"/>
            <color indexed="81"/>
            <rFont val="돋움"/>
            <family val="3"/>
            <charset val="129"/>
          </rPr>
          <t>가</t>
        </r>
        <r>
          <rPr>
            <sz val="9"/>
            <color indexed="81"/>
            <rFont val="Tahoma"/>
            <family val="2"/>
          </rPr>
          <t xml:space="preserve"> </t>
        </r>
        <r>
          <rPr>
            <sz val="9"/>
            <color indexed="81"/>
            <rFont val="돋움"/>
            <family val="3"/>
            <charset val="129"/>
          </rPr>
          <t>있긴</t>
        </r>
        <r>
          <rPr>
            <sz val="9"/>
            <color indexed="81"/>
            <rFont val="Tahoma"/>
            <family val="2"/>
          </rPr>
          <t xml:space="preserve"> </t>
        </r>
        <r>
          <rPr>
            <sz val="9"/>
            <color indexed="81"/>
            <rFont val="돋움"/>
            <family val="3"/>
            <charset val="129"/>
          </rPr>
          <t>하였으나</t>
        </r>
        <r>
          <rPr>
            <sz val="9"/>
            <color indexed="81"/>
            <rFont val="Tahoma"/>
            <family val="2"/>
          </rPr>
          <t xml:space="preserve"> clinical course </t>
        </r>
        <r>
          <rPr>
            <sz val="9"/>
            <color indexed="81"/>
            <rFont val="돋움"/>
            <family val="3"/>
            <charset val="129"/>
          </rPr>
          <t>고려할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아니었던</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같다</t>
        </r>
        <r>
          <rPr>
            <sz val="9"/>
            <color indexed="81"/>
            <rFont val="Tahoma"/>
            <family val="2"/>
          </rPr>
          <t>.</t>
        </r>
      </text>
    </comment>
    <comment ref="AN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 </t>
        </r>
        <r>
          <rPr>
            <sz val="9"/>
            <color indexed="81"/>
            <rFont val="돋움"/>
            <family val="3"/>
            <charset val="129"/>
          </rPr>
          <t>물론</t>
        </r>
        <r>
          <rPr>
            <sz val="9"/>
            <color indexed="81"/>
            <rFont val="Tahoma"/>
            <family val="2"/>
          </rPr>
          <t xml:space="preserve"> uppermost mediastinal LN invovlement</t>
        </r>
        <r>
          <rPr>
            <sz val="9"/>
            <color indexed="81"/>
            <rFont val="돋움"/>
            <family val="3"/>
            <charset val="129"/>
          </rPr>
          <t>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상황에서</t>
        </r>
        <r>
          <rPr>
            <sz val="9"/>
            <color indexed="81"/>
            <rFont val="Tahoma"/>
            <family val="2"/>
          </rPr>
          <t xml:space="preserve"> elective</t>
        </r>
        <r>
          <rPr>
            <sz val="9"/>
            <color indexed="81"/>
            <rFont val="돋움"/>
            <family val="3"/>
            <charset val="129"/>
          </rPr>
          <t>라고</t>
        </r>
        <r>
          <rPr>
            <sz val="9"/>
            <color indexed="81"/>
            <rFont val="Tahoma"/>
            <family val="2"/>
          </rPr>
          <t xml:space="preserve"> </t>
        </r>
        <r>
          <rPr>
            <sz val="9"/>
            <color indexed="81"/>
            <rFont val="돋움"/>
            <family val="3"/>
            <charset val="129"/>
          </rPr>
          <t>할지는</t>
        </r>
        <r>
          <rPr>
            <sz val="9"/>
            <color indexed="81"/>
            <rFont val="Tahoma"/>
            <family val="2"/>
          </rPr>
          <t>...</t>
        </r>
      </text>
    </comment>
    <comment ref="DH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margin positive </t>
        </r>
        <r>
          <rPr>
            <sz val="9"/>
            <color indexed="81"/>
            <rFont val="돋움"/>
            <family val="3"/>
            <charset val="129"/>
          </rPr>
          <t>나와서</t>
        </r>
        <r>
          <rPr>
            <sz val="9"/>
            <color indexed="81"/>
            <rFont val="Tahoma"/>
            <family val="2"/>
          </rPr>
          <t xml:space="preserve"> 20Gy/10fx </t>
        </r>
        <r>
          <rPr>
            <sz val="9"/>
            <color indexed="81"/>
            <rFont val="돋움"/>
            <family val="3"/>
            <charset val="129"/>
          </rPr>
          <t>추가</t>
        </r>
        <r>
          <rPr>
            <sz val="9"/>
            <color indexed="81"/>
            <rFont val="Tahoma"/>
            <family val="2"/>
          </rPr>
          <t xml:space="preserve"> boost </t>
        </r>
        <r>
          <rPr>
            <sz val="9"/>
            <color indexed="81"/>
            <rFont val="돋움"/>
            <family val="3"/>
            <charset val="129"/>
          </rPr>
          <t>실시함</t>
        </r>
        <r>
          <rPr>
            <sz val="9"/>
            <color indexed="81"/>
            <rFont val="Tahoma"/>
            <family val="2"/>
          </rPr>
          <t xml:space="preserve">. </t>
        </r>
        <r>
          <rPr>
            <sz val="9"/>
            <color indexed="81"/>
            <rFont val="돋움"/>
            <family val="3"/>
            <charset val="129"/>
          </rPr>
          <t>이후</t>
        </r>
        <r>
          <rPr>
            <sz val="9"/>
            <color indexed="81"/>
            <rFont val="Tahoma"/>
            <family val="2"/>
          </rPr>
          <t xml:space="preserve"> lower neck recurrence </t>
        </r>
        <r>
          <rPr>
            <sz val="9"/>
            <color indexed="81"/>
            <rFont val="돋움"/>
            <family val="3"/>
            <charset val="129"/>
          </rPr>
          <t>확인되어</t>
        </r>
        <r>
          <rPr>
            <sz val="9"/>
            <color indexed="81"/>
            <rFont val="Tahoma"/>
            <family val="2"/>
          </rPr>
          <t xml:space="preserve"> 30Gy/10fx </t>
        </r>
        <r>
          <rPr>
            <sz val="9"/>
            <color indexed="81"/>
            <rFont val="돋움"/>
            <family val="3"/>
            <charset val="129"/>
          </rPr>
          <t>또</t>
        </r>
        <r>
          <rPr>
            <sz val="9"/>
            <color indexed="81"/>
            <rFont val="Tahoma"/>
            <family val="2"/>
          </rPr>
          <t xml:space="preserve"> </t>
        </r>
        <r>
          <rPr>
            <sz val="9"/>
            <color indexed="81"/>
            <rFont val="돋움"/>
            <family val="3"/>
            <charset val="129"/>
          </rPr>
          <t>치료함</t>
        </r>
        <r>
          <rPr>
            <sz val="9"/>
            <color indexed="81"/>
            <rFont val="Tahoma"/>
            <family val="2"/>
          </rPr>
          <t>.</t>
        </r>
      </text>
    </comment>
    <comment ref="DI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Adjuvant FP #1 (2016/5/24)
4 cycle </t>
        </r>
        <r>
          <rPr>
            <sz val="9"/>
            <color indexed="81"/>
            <rFont val="돋움"/>
            <family val="3"/>
            <charset val="129"/>
          </rPr>
          <t>계획되었으나</t>
        </r>
        <r>
          <rPr>
            <sz val="9"/>
            <color indexed="81"/>
            <rFont val="Tahoma"/>
            <family val="2"/>
          </rPr>
          <t xml:space="preserve"> 1 cycle</t>
        </r>
        <r>
          <rPr>
            <sz val="9"/>
            <color indexed="81"/>
            <rFont val="돋움"/>
            <family val="3"/>
            <charset val="129"/>
          </rPr>
          <t>만</t>
        </r>
        <r>
          <rPr>
            <sz val="9"/>
            <color indexed="81"/>
            <rFont val="Tahoma"/>
            <family val="2"/>
          </rPr>
          <t xml:space="preserve"> </t>
        </r>
        <r>
          <rPr>
            <sz val="9"/>
            <color indexed="81"/>
            <rFont val="돋움"/>
            <family val="3"/>
            <charset val="129"/>
          </rPr>
          <t>시행함</t>
        </r>
        <r>
          <rPr>
            <sz val="9"/>
            <color indexed="81"/>
            <rFont val="Tahoma"/>
            <family val="2"/>
          </rPr>
          <t>.</t>
        </r>
      </text>
    </comment>
    <comment ref="DQ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영상</t>
        </r>
        <r>
          <rPr>
            <sz val="9"/>
            <color indexed="81"/>
            <rFont val="Tahoma"/>
            <family val="2"/>
          </rPr>
          <t xml:space="preserve"> </t>
        </r>
        <r>
          <rPr>
            <sz val="9"/>
            <color indexed="81"/>
            <rFont val="돋움"/>
            <family val="3"/>
            <charset val="129"/>
          </rPr>
          <t>판독에는</t>
        </r>
        <r>
          <rPr>
            <sz val="9"/>
            <color indexed="81"/>
            <rFont val="Tahoma"/>
            <family val="2"/>
          </rPr>
          <t xml:space="preserve"> anastomotic site recurrence</t>
        </r>
        <r>
          <rPr>
            <sz val="9"/>
            <color indexed="81"/>
            <rFont val="돋움"/>
            <family val="3"/>
            <charset val="129"/>
          </rPr>
          <t>라는</t>
        </r>
        <r>
          <rPr>
            <sz val="9"/>
            <color indexed="81"/>
            <rFont val="Tahoma"/>
            <family val="2"/>
          </rPr>
          <t xml:space="preserve"> </t>
        </r>
        <r>
          <rPr>
            <sz val="9"/>
            <color indexed="81"/>
            <rFont val="돋움"/>
            <family val="3"/>
            <charset val="129"/>
          </rPr>
          <t>말이</t>
        </r>
        <r>
          <rPr>
            <sz val="9"/>
            <color indexed="81"/>
            <rFont val="Tahoma"/>
            <family val="2"/>
          </rPr>
          <t xml:space="preserve"> </t>
        </r>
        <r>
          <rPr>
            <sz val="9"/>
            <color indexed="81"/>
            <rFont val="돋움"/>
            <family val="3"/>
            <charset val="129"/>
          </rPr>
          <t>있기는</t>
        </r>
        <r>
          <rPr>
            <sz val="9"/>
            <color indexed="81"/>
            <rFont val="Tahoma"/>
            <family val="2"/>
          </rPr>
          <t xml:space="preserve"> </t>
        </r>
        <r>
          <rPr>
            <sz val="9"/>
            <color indexed="81"/>
            <rFont val="돋움"/>
            <family val="3"/>
            <charset val="129"/>
          </rPr>
          <t>한데</t>
        </r>
        <r>
          <rPr>
            <sz val="9"/>
            <color indexed="81"/>
            <rFont val="Tahoma"/>
            <family val="2"/>
          </rPr>
          <t xml:space="preserve">, </t>
        </r>
        <r>
          <rPr>
            <sz val="9"/>
            <color indexed="81"/>
            <rFont val="돋움"/>
            <family val="3"/>
            <charset val="129"/>
          </rPr>
          <t>아무래도</t>
        </r>
        <r>
          <rPr>
            <sz val="9"/>
            <color indexed="81"/>
            <rFont val="Tahoma"/>
            <family val="2"/>
          </rPr>
          <t xml:space="preserve"> chronologic</t>
        </r>
        <r>
          <rPr>
            <sz val="9"/>
            <color indexed="81"/>
            <rFont val="돋움"/>
            <family val="3"/>
            <charset val="129"/>
          </rPr>
          <t>하게는</t>
        </r>
        <r>
          <rPr>
            <sz val="9"/>
            <color indexed="81"/>
            <rFont val="Tahoma"/>
            <family val="2"/>
          </rPr>
          <t xml:space="preserve"> left para-esopphageal lymph node</t>
        </r>
        <r>
          <rPr>
            <sz val="9"/>
            <color indexed="81"/>
            <rFont val="돋움"/>
            <family val="3"/>
            <charset val="129"/>
          </rPr>
          <t>가</t>
        </r>
        <r>
          <rPr>
            <sz val="9"/>
            <color indexed="81"/>
            <rFont val="Tahoma"/>
            <family val="2"/>
          </rPr>
          <t xml:space="preserve"> </t>
        </r>
        <r>
          <rPr>
            <sz val="9"/>
            <color indexed="81"/>
            <rFont val="돋움"/>
            <family val="3"/>
            <charset val="129"/>
          </rPr>
          <t>자라난</t>
        </r>
        <r>
          <rPr>
            <sz val="9"/>
            <color indexed="81"/>
            <rFont val="Tahoma"/>
            <family val="2"/>
          </rPr>
          <t xml:space="preserve"> </t>
        </r>
        <r>
          <rPr>
            <sz val="9"/>
            <color indexed="81"/>
            <rFont val="돋움"/>
            <family val="3"/>
            <charset val="129"/>
          </rPr>
          <t>것으로</t>
        </r>
        <r>
          <rPr>
            <sz val="9"/>
            <color indexed="81"/>
            <rFont val="Tahoma"/>
            <family val="2"/>
          </rPr>
          <t xml:space="preserve"> </t>
        </r>
        <r>
          <rPr>
            <sz val="9"/>
            <color indexed="81"/>
            <rFont val="돋움"/>
            <family val="3"/>
            <charset val="129"/>
          </rPr>
          <t>보인다는</t>
        </r>
        <r>
          <rPr>
            <sz val="9"/>
            <color indexed="81"/>
            <rFont val="Tahoma"/>
            <family val="2"/>
          </rPr>
          <t xml:space="preserve"> </t>
        </r>
        <r>
          <rPr>
            <sz val="9"/>
            <color indexed="81"/>
            <rFont val="돋움"/>
            <family val="3"/>
            <charset val="129"/>
          </rPr>
          <t>교수님</t>
        </r>
        <r>
          <rPr>
            <sz val="9"/>
            <color indexed="81"/>
            <rFont val="Tahoma"/>
            <family val="2"/>
          </rPr>
          <t xml:space="preserve"> </t>
        </r>
        <r>
          <rPr>
            <sz val="9"/>
            <color indexed="81"/>
            <rFont val="돋움"/>
            <family val="3"/>
            <charset val="129"/>
          </rPr>
          <t>의견</t>
        </r>
        <r>
          <rPr>
            <sz val="9"/>
            <color indexed="81"/>
            <rFont val="Tahoma"/>
            <family val="2"/>
          </rPr>
          <t>.</t>
        </r>
      </text>
    </comment>
    <comment ref="FT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2016/8/10 </t>
        </r>
        <r>
          <rPr>
            <sz val="9"/>
            <color indexed="81"/>
            <rFont val="돋움"/>
            <family val="3"/>
            <charset val="129"/>
          </rPr>
          <t>흉부외과</t>
        </r>
        <r>
          <rPr>
            <sz val="9"/>
            <color indexed="81"/>
            <rFont val="Tahoma"/>
            <family val="2"/>
          </rPr>
          <t xml:space="preserve"> </t>
        </r>
        <r>
          <rPr>
            <sz val="9"/>
            <color indexed="81"/>
            <rFont val="돋움"/>
            <family val="3"/>
            <charset val="129"/>
          </rPr>
          <t>외래</t>
        </r>
      </text>
    </comment>
    <comment ref="FX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SCN RT</t>
        </r>
        <r>
          <rPr>
            <sz val="9"/>
            <color indexed="81"/>
            <rFont val="돋움"/>
            <family val="3"/>
            <charset val="129"/>
          </rPr>
          <t>를</t>
        </r>
        <r>
          <rPr>
            <sz val="9"/>
            <color indexed="81"/>
            <rFont val="Tahoma"/>
            <family val="2"/>
          </rPr>
          <t xml:space="preserve"> re-RT</t>
        </r>
        <r>
          <rPr>
            <sz val="9"/>
            <color indexed="81"/>
            <rFont val="돋움"/>
            <family val="3"/>
            <charset val="129"/>
          </rPr>
          <t>라고</t>
        </r>
        <r>
          <rPr>
            <sz val="9"/>
            <color indexed="81"/>
            <rFont val="Tahoma"/>
            <family val="2"/>
          </rPr>
          <t xml:space="preserve"> </t>
        </r>
        <r>
          <rPr>
            <sz val="9"/>
            <color indexed="81"/>
            <rFont val="돋움"/>
            <family val="3"/>
            <charset val="129"/>
          </rPr>
          <t>본다면</t>
        </r>
        <r>
          <rPr>
            <sz val="9"/>
            <color indexed="81"/>
            <rFont val="Tahoma"/>
            <family val="2"/>
          </rPr>
          <t xml:space="preserve"> </t>
        </r>
        <r>
          <rPr>
            <sz val="9"/>
            <color indexed="81"/>
            <rFont val="돋움"/>
            <family val="3"/>
            <charset val="129"/>
          </rPr>
          <t>말이지</t>
        </r>
        <r>
          <rPr>
            <sz val="9"/>
            <color indexed="81"/>
            <rFont val="Tahoma"/>
            <family val="2"/>
          </rPr>
          <t>.</t>
        </r>
      </text>
    </comment>
    <comment ref="S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언급이</t>
        </r>
        <r>
          <rPr>
            <sz val="9"/>
            <color indexed="81"/>
            <rFont val="Tahoma"/>
            <family val="2"/>
          </rPr>
          <t xml:space="preserve"> </t>
        </r>
        <r>
          <rPr>
            <sz val="9"/>
            <color indexed="81"/>
            <rFont val="돋움"/>
            <family val="3"/>
            <charset val="129"/>
          </rPr>
          <t>없다</t>
        </r>
        <r>
          <rPr>
            <sz val="9"/>
            <color indexed="81"/>
            <rFont val="Tahoma"/>
            <family val="2"/>
          </rPr>
          <t>.</t>
        </r>
      </text>
    </comment>
    <comment ref="AH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SCL</t>
        </r>
        <r>
          <rPr>
            <sz val="9"/>
            <color indexed="81"/>
            <rFont val="돋움"/>
            <family val="3"/>
            <charset val="129"/>
          </rPr>
          <t>도</t>
        </r>
        <r>
          <rPr>
            <sz val="9"/>
            <color indexed="81"/>
            <rFont val="Tahoma"/>
            <family val="2"/>
          </rPr>
          <t xml:space="preserve"> </t>
        </r>
        <r>
          <rPr>
            <sz val="9"/>
            <color indexed="81"/>
            <rFont val="돋움"/>
            <family val="3"/>
            <charset val="129"/>
          </rPr>
          <t>있지만</t>
        </r>
        <r>
          <rPr>
            <sz val="9"/>
            <color indexed="81"/>
            <rFont val="Tahoma"/>
            <family val="2"/>
          </rPr>
          <t xml:space="preserve"> Rt neck LN</t>
        </r>
        <r>
          <rPr>
            <sz val="9"/>
            <color indexed="81"/>
            <rFont val="돋움"/>
            <family val="3"/>
            <charset val="129"/>
          </rPr>
          <t>도</t>
        </r>
        <r>
          <rPr>
            <sz val="9"/>
            <color indexed="81"/>
            <rFont val="Tahoma"/>
            <family val="2"/>
          </rPr>
          <t xml:space="preserve"> </t>
        </r>
        <r>
          <rPr>
            <sz val="9"/>
            <color indexed="81"/>
            <rFont val="돋움"/>
            <family val="3"/>
            <charset val="129"/>
          </rPr>
          <t>있지</t>
        </r>
      </text>
    </comment>
    <comment ref="AN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 </t>
        </r>
        <r>
          <rPr>
            <sz val="9"/>
            <color indexed="81"/>
            <rFont val="돋움"/>
            <family val="3"/>
            <charset val="129"/>
          </rPr>
          <t>다만</t>
        </r>
        <r>
          <rPr>
            <sz val="9"/>
            <color indexed="81"/>
            <rFont val="Tahoma"/>
            <family val="2"/>
          </rPr>
          <t xml:space="preserve"> invovlement</t>
        </r>
        <r>
          <rPr>
            <sz val="9"/>
            <color indexed="81"/>
            <rFont val="돋움"/>
            <family val="3"/>
            <charset val="129"/>
          </rPr>
          <t>가</t>
        </r>
        <r>
          <rPr>
            <sz val="9"/>
            <color indexed="81"/>
            <rFont val="Tahoma"/>
            <family val="2"/>
          </rPr>
          <t xml:space="preserve"> </t>
        </r>
        <r>
          <rPr>
            <sz val="9"/>
            <color indexed="81"/>
            <rFont val="돋움"/>
            <family val="3"/>
            <charset val="129"/>
          </rPr>
          <t>애초에</t>
        </r>
        <r>
          <rPr>
            <sz val="9"/>
            <color indexed="81"/>
            <rFont val="Tahoma"/>
            <family val="2"/>
          </rPr>
          <t xml:space="preserve"> </t>
        </r>
        <r>
          <rPr>
            <sz val="9"/>
            <color indexed="81"/>
            <rFont val="돋움"/>
            <family val="3"/>
            <charset val="129"/>
          </rPr>
          <t>매우</t>
        </r>
        <r>
          <rPr>
            <sz val="9"/>
            <color indexed="81"/>
            <rFont val="Tahoma"/>
            <family val="2"/>
          </rPr>
          <t xml:space="preserve"> multiple</t>
        </r>
        <r>
          <rPr>
            <sz val="9"/>
            <color indexed="81"/>
            <rFont val="돋움"/>
            <family val="3"/>
            <charset val="129"/>
          </rPr>
          <t>했다는</t>
        </r>
        <r>
          <rPr>
            <sz val="9"/>
            <color indexed="81"/>
            <rFont val="Tahoma"/>
            <family val="2"/>
          </rPr>
          <t xml:space="preserve"> </t>
        </r>
        <r>
          <rPr>
            <sz val="9"/>
            <color indexed="81"/>
            <rFont val="돋움"/>
            <family val="3"/>
            <charset val="129"/>
          </rPr>
          <t>점도</t>
        </r>
        <r>
          <rPr>
            <sz val="9"/>
            <color indexed="81"/>
            <rFont val="Tahoma"/>
            <family val="2"/>
          </rPr>
          <t xml:space="preserve"> </t>
        </r>
        <r>
          <rPr>
            <sz val="9"/>
            <color indexed="81"/>
            <rFont val="돋움"/>
            <family val="3"/>
            <charset val="129"/>
          </rPr>
          <t>고려</t>
        </r>
        <r>
          <rPr>
            <sz val="9"/>
            <color indexed="81"/>
            <rFont val="Tahoma"/>
            <family val="2"/>
          </rPr>
          <t>...</t>
        </r>
      </text>
    </comment>
    <comment ref="AZ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 1.0
LN: 0.5</t>
        </r>
      </text>
    </comment>
    <comment ref="BD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BG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처음부터</t>
        </r>
        <r>
          <rPr>
            <sz val="9"/>
            <color indexed="81"/>
            <rFont val="Tahoma"/>
            <family val="2"/>
          </rPr>
          <t xml:space="preserve"> 41.4</t>
        </r>
        <r>
          <rPr>
            <sz val="9"/>
            <color indexed="81"/>
            <rFont val="돋움"/>
            <family val="3"/>
            <charset val="129"/>
          </rPr>
          <t>를</t>
        </r>
        <r>
          <rPr>
            <sz val="9"/>
            <color indexed="81"/>
            <rFont val="Tahoma"/>
            <family val="2"/>
          </rPr>
          <t xml:space="preserve"> </t>
        </r>
        <r>
          <rPr>
            <sz val="9"/>
            <color indexed="81"/>
            <rFont val="돋움"/>
            <family val="3"/>
            <charset val="129"/>
          </rPr>
          <t>계획하였었다</t>
        </r>
        <r>
          <rPr>
            <sz val="9"/>
            <color indexed="81"/>
            <rFont val="Tahoma"/>
            <family val="2"/>
          </rPr>
          <t>.</t>
        </r>
      </text>
    </comment>
    <comment ref="DQ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2018/10/8 PET</t>
        </r>
        <r>
          <rPr>
            <sz val="9"/>
            <color indexed="81"/>
            <rFont val="돋움"/>
            <family val="3"/>
            <charset val="129"/>
          </rPr>
          <t>을</t>
        </r>
        <r>
          <rPr>
            <sz val="9"/>
            <color indexed="81"/>
            <rFont val="Tahoma"/>
            <family val="2"/>
          </rPr>
          <t xml:space="preserve"> </t>
        </r>
        <r>
          <rPr>
            <sz val="9"/>
            <color indexed="81"/>
            <rFont val="돋움"/>
            <family val="3"/>
            <charset val="129"/>
          </rPr>
          <t>보면</t>
        </r>
        <r>
          <rPr>
            <sz val="9"/>
            <color indexed="81"/>
            <rFont val="Tahoma"/>
            <family val="2"/>
          </rPr>
          <t xml:space="preserve"> anastomotic site </t>
        </r>
        <r>
          <rPr>
            <sz val="9"/>
            <color indexed="81"/>
            <rFont val="돋움"/>
            <family val="3"/>
            <charset val="129"/>
          </rPr>
          <t>인근은</t>
        </r>
        <r>
          <rPr>
            <sz val="9"/>
            <color indexed="81"/>
            <rFont val="Tahoma"/>
            <family val="2"/>
          </rPr>
          <t xml:space="preserve"> lymph node</t>
        </r>
        <r>
          <rPr>
            <sz val="9"/>
            <color indexed="81"/>
            <rFont val="돋움"/>
            <family val="3"/>
            <charset val="129"/>
          </rPr>
          <t>가</t>
        </r>
        <r>
          <rPr>
            <sz val="9"/>
            <color indexed="81"/>
            <rFont val="Tahoma"/>
            <family val="2"/>
          </rPr>
          <t xml:space="preserve"> </t>
        </r>
        <r>
          <rPr>
            <sz val="9"/>
            <color indexed="81"/>
            <rFont val="돋움"/>
            <family val="3"/>
            <charset val="129"/>
          </rPr>
          <t>자라들어온</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아닌가</t>
        </r>
        <r>
          <rPr>
            <sz val="9"/>
            <color indexed="81"/>
            <rFont val="Tahoma"/>
            <family val="2"/>
          </rPr>
          <t xml:space="preserve"> </t>
        </r>
        <r>
          <rPr>
            <sz val="9"/>
            <color indexed="81"/>
            <rFont val="돋움"/>
            <family val="3"/>
            <charset val="129"/>
          </rPr>
          <t>싶다</t>
        </r>
        <r>
          <rPr>
            <sz val="9"/>
            <color indexed="81"/>
            <rFont val="Tahoma"/>
            <family val="2"/>
          </rPr>
          <t>. (</t>
        </r>
        <r>
          <rPr>
            <sz val="9"/>
            <color indexed="81"/>
            <rFont val="돋움"/>
            <family val="3"/>
            <charset val="129"/>
          </rPr>
          <t>다만</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사이에</t>
        </r>
        <r>
          <rPr>
            <sz val="9"/>
            <color indexed="81"/>
            <rFont val="Tahoma"/>
            <family val="2"/>
          </rPr>
          <t xml:space="preserve"> </t>
        </r>
        <r>
          <rPr>
            <sz val="9"/>
            <color indexed="81"/>
            <rFont val="돋움"/>
            <family val="3"/>
            <charset val="129"/>
          </rPr>
          <t>수술을</t>
        </r>
        <r>
          <rPr>
            <sz val="9"/>
            <color indexed="81"/>
            <rFont val="Tahoma"/>
            <family val="2"/>
          </rPr>
          <t xml:space="preserve"> </t>
        </r>
        <r>
          <rPr>
            <sz val="9"/>
            <color indexed="81"/>
            <rFont val="돋움"/>
            <family val="3"/>
            <charset val="129"/>
          </rPr>
          <t>받기도</t>
        </r>
        <r>
          <rPr>
            <sz val="9"/>
            <color indexed="81"/>
            <rFont val="Tahoma"/>
            <family val="2"/>
          </rPr>
          <t xml:space="preserve"> </t>
        </r>
        <r>
          <rPr>
            <sz val="9"/>
            <color indexed="81"/>
            <rFont val="돋움"/>
            <family val="3"/>
            <charset val="129"/>
          </rPr>
          <t>했다</t>
        </r>
        <r>
          <rPr>
            <sz val="9"/>
            <color indexed="81"/>
            <rFont val="Tahoma"/>
            <family val="2"/>
          </rPr>
          <t xml:space="preserve">.) </t>
        </r>
        <r>
          <rPr>
            <sz val="9"/>
            <color indexed="81"/>
            <rFont val="돋움"/>
            <family val="3"/>
            <charset val="129"/>
          </rPr>
          <t>실재로</t>
        </r>
        <r>
          <rPr>
            <sz val="9"/>
            <color indexed="81"/>
            <rFont val="Tahoma"/>
            <family val="2"/>
          </rPr>
          <t xml:space="preserve"> </t>
        </r>
        <r>
          <rPr>
            <sz val="9"/>
            <color indexed="81"/>
            <rFont val="돋움"/>
            <family val="3"/>
            <charset val="129"/>
          </rPr>
          <t>당시</t>
        </r>
        <r>
          <rPr>
            <sz val="9"/>
            <color indexed="81"/>
            <rFont val="Tahoma"/>
            <family val="2"/>
          </rPr>
          <t xml:space="preserve"> </t>
        </r>
        <r>
          <rPr>
            <sz val="9"/>
            <color indexed="81"/>
            <rFont val="돋움"/>
            <family val="3"/>
            <charset val="129"/>
          </rPr>
          <t>내시경적</t>
        </r>
        <r>
          <rPr>
            <sz val="9"/>
            <color indexed="81"/>
            <rFont val="Tahoma"/>
            <family val="2"/>
          </rPr>
          <t xml:space="preserve"> biopsy</t>
        </r>
        <r>
          <rPr>
            <sz val="9"/>
            <color indexed="81"/>
            <rFont val="돋움"/>
            <family val="3"/>
            <charset val="129"/>
          </rPr>
          <t>도</t>
        </r>
        <r>
          <rPr>
            <sz val="9"/>
            <color indexed="81"/>
            <rFont val="Tahoma"/>
            <family val="2"/>
          </rPr>
          <t xml:space="preserve"> </t>
        </r>
        <r>
          <rPr>
            <sz val="9"/>
            <color indexed="81"/>
            <rFont val="돋움"/>
            <family val="3"/>
            <charset val="129"/>
          </rPr>
          <t>실시하였는데</t>
        </r>
        <r>
          <rPr>
            <sz val="9"/>
            <color indexed="81"/>
            <rFont val="Tahoma"/>
            <family val="2"/>
          </rPr>
          <t>, esophagus bx.</t>
        </r>
        <r>
          <rPr>
            <sz val="9"/>
            <color indexed="81"/>
            <rFont val="돋움"/>
            <family val="3"/>
            <charset val="129"/>
          </rPr>
          <t>에서는</t>
        </r>
        <r>
          <rPr>
            <sz val="9"/>
            <color indexed="81"/>
            <rFont val="Tahoma"/>
            <family val="2"/>
          </rPr>
          <t xml:space="preserve"> malignancy</t>
        </r>
        <r>
          <rPr>
            <sz val="9"/>
            <color indexed="81"/>
            <rFont val="돋움"/>
            <family val="3"/>
            <charset val="129"/>
          </rPr>
          <t>가</t>
        </r>
        <r>
          <rPr>
            <sz val="9"/>
            <color indexed="81"/>
            <rFont val="Tahoma"/>
            <family val="2"/>
          </rPr>
          <t xml:space="preserve"> </t>
        </r>
        <r>
          <rPr>
            <sz val="9"/>
            <color indexed="81"/>
            <rFont val="돋움"/>
            <family val="3"/>
            <charset val="129"/>
          </rPr>
          <t>확인되지</t>
        </r>
        <r>
          <rPr>
            <sz val="9"/>
            <color indexed="81"/>
            <rFont val="Tahoma"/>
            <family val="2"/>
          </rPr>
          <t xml:space="preserve"> </t>
        </r>
        <r>
          <rPr>
            <sz val="9"/>
            <color indexed="81"/>
            <rFont val="돋움"/>
            <family val="3"/>
            <charset val="129"/>
          </rPr>
          <t>않았다</t>
        </r>
        <r>
          <rPr>
            <sz val="9"/>
            <color indexed="81"/>
            <rFont val="Tahoma"/>
            <family val="2"/>
          </rPr>
          <t>.</t>
        </r>
      </text>
    </comment>
    <comment ref="EV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hypopharynx</t>
        </r>
      </text>
    </comment>
    <comment ref="CC45" authorId="1" shapeId="0">
      <text>
        <r>
          <rPr>
            <b/>
            <sz val="9"/>
            <color indexed="81"/>
            <rFont val="Tahoma"/>
            <family val="2"/>
          </rPr>
          <t>SNUH:</t>
        </r>
        <r>
          <rPr>
            <sz val="9"/>
            <color indexed="81"/>
            <rFont val="Tahoma"/>
            <family val="2"/>
          </rPr>
          <t xml:space="preserve">
o/s PET, </t>
        </r>
        <r>
          <rPr>
            <sz val="9"/>
            <color indexed="81"/>
            <rFont val="돋움"/>
            <family val="3"/>
            <charset val="129"/>
          </rPr>
          <t>판독지</t>
        </r>
        <r>
          <rPr>
            <sz val="9"/>
            <color indexed="81"/>
            <rFont val="Tahoma"/>
            <family val="2"/>
          </rPr>
          <t xml:space="preserve"> </t>
        </r>
        <r>
          <rPr>
            <sz val="9"/>
            <color indexed="81"/>
            <rFont val="돋움"/>
            <family val="3"/>
            <charset val="129"/>
          </rPr>
          <t>없음</t>
        </r>
      </text>
    </comment>
    <comment ref="DI4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adjuvant FP #4 (2015/12/9 - 2016/3/1)</t>
        </r>
      </text>
    </comment>
    <comment ref="DU4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2016/3/24</t>
        </r>
      </text>
    </comment>
    <comment ref="DV4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2016/7/4</t>
        </r>
      </text>
    </comment>
    <comment ref="FU4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Balloon dilatation #6 (2015/12/24, 2016/1/29, 2016/2/29, 2016/3/31, 2016/4/28, 2016/6/9)</t>
        </r>
      </text>
    </comment>
    <comment ref="AN4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uppermost mediastinum… </t>
        </r>
        <r>
          <rPr>
            <sz val="9"/>
            <color indexed="81"/>
            <rFont val="돋움"/>
            <family val="3"/>
            <charset val="129"/>
          </rPr>
          <t>하지만</t>
        </r>
        <r>
          <rPr>
            <sz val="9"/>
            <color indexed="81"/>
            <rFont val="Tahoma"/>
            <family val="2"/>
          </rPr>
          <t xml:space="preserve"> SCL metastasis</t>
        </r>
        <r>
          <rPr>
            <sz val="9"/>
            <color indexed="81"/>
            <rFont val="돋움"/>
            <family val="3"/>
            <charset val="129"/>
          </rPr>
          <t>가</t>
        </r>
        <r>
          <rPr>
            <sz val="9"/>
            <color indexed="81"/>
            <rFont val="Tahoma"/>
            <family val="2"/>
          </rPr>
          <t xml:space="preserve"> </t>
        </r>
        <r>
          <rPr>
            <sz val="9"/>
            <color indexed="81"/>
            <rFont val="돋움"/>
            <family val="3"/>
            <charset val="129"/>
          </rPr>
          <t>있던</t>
        </r>
        <r>
          <rPr>
            <sz val="9"/>
            <color indexed="81"/>
            <rFont val="Tahoma"/>
            <family val="2"/>
          </rPr>
          <t xml:space="preserve"> </t>
        </r>
        <r>
          <rPr>
            <sz val="9"/>
            <color indexed="81"/>
            <rFont val="돋움"/>
            <family val="3"/>
            <charset val="129"/>
          </rPr>
          <t>환자라서</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애매하다</t>
        </r>
        <r>
          <rPr>
            <sz val="9"/>
            <color indexed="81"/>
            <rFont val="Tahoma"/>
            <family val="2"/>
          </rPr>
          <t>.</t>
        </r>
      </text>
    </comment>
    <comment ref="AO4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GTV</t>
        </r>
        <r>
          <rPr>
            <sz val="9"/>
            <color indexed="81"/>
            <rFont val="돋움"/>
            <family val="3"/>
            <charset val="129"/>
          </rPr>
          <t>는</t>
        </r>
        <r>
          <rPr>
            <sz val="9"/>
            <color indexed="81"/>
            <rFont val="Tahoma"/>
            <family val="2"/>
          </rPr>
          <t xml:space="preserve"> Lt SCL</t>
        </r>
        <r>
          <rPr>
            <sz val="9"/>
            <color indexed="81"/>
            <rFont val="돋움"/>
            <family val="3"/>
            <charset val="129"/>
          </rPr>
          <t>에도</t>
        </r>
        <r>
          <rPr>
            <sz val="9"/>
            <color indexed="81"/>
            <rFont val="Tahoma"/>
            <family val="2"/>
          </rPr>
          <t xml:space="preserve"> </t>
        </r>
        <r>
          <rPr>
            <sz val="9"/>
            <color indexed="81"/>
            <rFont val="돋움"/>
            <family val="3"/>
            <charset val="129"/>
          </rPr>
          <t>잡혀있는데</t>
        </r>
        <r>
          <rPr>
            <sz val="9"/>
            <color indexed="81"/>
            <rFont val="Tahoma"/>
            <family val="2"/>
          </rPr>
          <t>, preop evaluation</t>
        </r>
        <r>
          <rPr>
            <sz val="9"/>
            <color indexed="81"/>
            <rFont val="돋움"/>
            <family val="3"/>
            <charset val="129"/>
          </rPr>
          <t>에서는</t>
        </r>
        <r>
          <rPr>
            <sz val="9"/>
            <color indexed="81"/>
            <rFont val="Tahoma"/>
            <family val="2"/>
          </rPr>
          <t xml:space="preserve"> Rt SCL involvement</t>
        </r>
        <r>
          <rPr>
            <sz val="9"/>
            <color indexed="81"/>
            <rFont val="돋움"/>
            <family val="3"/>
            <charset val="129"/>
          </rPr>
          <t>만</t>
        </r>
        <r>
          <rPr>
            <sz val="9"/>
            <color indexed="81"/>
            <rFont val="Tahoma"/>
            <family val="2"/>
          </rPr>
          <t xml:space="preserve"> </t>
        </r>
        <r>
          <rPr>
            <sz val="9"/>
            <color indexed="81"/>
            <rFont val="돋움"/>
            <family val="3"/>
            <charset val="129"/>
          </rPr>
          <t>확인되었었다</t>
        </r>
        <r>
          <rPr>
            <sz val="9"/>
            <color indexed="81"/>
            <rFont val="Tahoma"/>
            <family val="2"/>
          </rPr>
          <t>.</t>
        </r>
      </text>
    </comment>
    <comment ref="AZ46" authorId="0" shapeId="0">
      <text>
        <r>
          <rPr>
            <b/>
            <sz val="9"/>
            <color indexed="81"/>
            <rFont val="Tahoma"/>
            <family val="2"/>
          </rPr>
          <t xml:space="preserve">Windows </t>
        </r>
        <r>
          <rPr>
            <b/>
            <sz val="9"/>
            <color indexed="81"/>
            <rFont val="돋움"/>
            <family val="3"/>
            <charset val="129"/>
          </rPr>
          <t>사용자</t>
        </r>
        <r>
          <rPr>
            <b/>
            <sz val="9"/>
            <color indexed="81"/>
            <rFont val="Tahoma"/>
            <family val="2"/>
          </rPr>
          <t xml:space="preserve">:
</t>
        </r>
        <r>
          <rPr>
            <sz val="9"/>
            <color indexed="81"/>
            <rFont val="Tahoma"/>
            <family val="2"/>
          </rPr>
          <t>Primary: 0.7
LN: 0.5</t>
        </r>
      </text>
    </comment>
    <comment ref="Y4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기록에는</t>
        </r>
        <r>
          <rPr>
            <sz val="9"/>
            <color indexed="81"/>
            <rFont val="Tahoma"/>
            <family val="2"/>
          </rPr>
          <t xml:space="preserve"> T4</t>
        </r>
        <r>
          <rPr>
            <sz val="9"/>
            <color indexed="81"/>
            <rFont val="돋움"/>
            <family val="3"/>
            <charset val="129"/>
          </rPr>
          <t>라고</t>
        </r>
        <r>
          <rPr>
            <sz val="9"/>
            <color indexed="81"/>
            <rFont val="Tahoma"/>
            <family val="2"/>
          </rPr>
          <t xml:space="preserve"> </t>
        </r>
        <r>
          <rPr>
            <sz val="9"/>
            <color indexed="81"/>
            <rFont val="돋움"/>
            <family val="3"/>
            <charset val="129"/>
          </rPr>
          <t>되어있는데</t>
        </r>
        <r>
          <rPr>
            <sz val="9"/>
            <color indexed="81"/>
            <rFont val="Tahoma"/>
            <family val="2"/>
          </rPr>
          <t xml:space="preserve"> </t>
        </r>
        <r>
          <rPr>
            <sz val="9"/>
            <color indexed="81"/>
            <rFont val="돋움"/>
            <family val="3"/>
            <charset val="129"/>
          </rPr>
          <t>도무지</t>
        </r>
        <r>
          <rPr>
            <sz val="9"/>
            <color indexed="81"/>
            <rFont val="Tahoma"/>
            <family val="2"/>
          </rPr>
          <t xml:space="preserve"> </t>
        </r>
        <r>
          <rPr>
            <sz val="9"/>
            <color indexed="81"/>
            <rFont val="돋움"/>
            <family val="3"/>
            <charset val="129"/>
          </rPr>
          <t>근거를</t>
        </r>
        <r>
          <rPr>
            <sz val="9"/>
            <color indexed="81"/>
            <rFont val="Tahoma"/>
            <family val="2"/>
          </rPr>
          <t xml:space="preserve"> </t>
        </r>
        <r>
          <rPr>
            <sz val="9"/>
            <color indexed="81"/>
            <rFont val="돋움"/>
            <family val="3"/>
            <charset val="129"/>
          </rPr>
          <t>모르겠다</t>
        </r>
        <r>
          <rPr>
            <sz val="9"/>
            <color indexed="81"/>
            <rFont val="Tahoma"/>
            <family val="2"/>
          </rPr>
          <t>.</t>
        </r>
      </text>
    </comment>
    <comment ref="Z4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para-esophageal LN? CT chest</t>
        </r>
        <r>
          <rPr>
            <sz val="9"/>
            <color indexed="81"/>
            <rFont val="돋움"/>
            <family val="3"/>
            <charset val="129"/>
          </rPr>
          <t>나</t>
        </r>
        <r>
          <rPr>
            <sz val="9"/>
            <color indexed="81"/>
            <rFont val="Tahoma"/>
            <family val="2"/>
          </rPr>
          <t xml:space="preserve"> </t>
        </r>
        <r>
          <rPr>
            <sz val="9"/>
            <color indexed="81"/>
            <rFont val="돋움"/>
            <family val="3"/>
            <charset val="129"/>
          </rPr>
          <t>외부기록</t>
        </r>
        <r>
          <rPr>
            <sz val="9"/>
            <color indexed="81"/>
            <rFont val="Tahoma"/>
            <family val="2"/>
          </rPr>
          <t xml:space="preserve"> </t>
        </r>
        <r>
          <rPr>
            <sz val="9"/>
            <color indexed="81"/>
            <rFont val="돋움"/>
            <family val="3"/>
            <charset val="129"/>
          </rPr>
          <t>보면</t>
        </r>
        <r>
          <rPr>
            <sz val="9"/>
            <color indexed="81"/>
            <rFont val="Tahoma"/>
            <family val="2"/>
          </rPr>
          <t xml:space="preserve"> </t>
        </r>
        <r>
          <rPr>
            <sz val="9"/>
            <color indexed="81"/>
            <rFont val="돋움"/>
            <family val="3"/>
            <charset val="129"/>
          </rPr>
          <t>언급이</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본원</t>
        </r>
        <r>
          <rPr>
            <sz val="9"/>
            <color indexed="81"/>
            <rFont val="Tahoma"/>
            <family val="2"/>
          </rPr>
          <t xml:space="preserve"> PET </t>
        </r>
        <r>
          <rPr>
            <sz val="9"/>
            <color indexed="81"/>
            <rFont val="돋움"/>
            <family val="3"/>
            <charset val="129"/>
          </rPr>
          <t>기록은</t>
        </r>
        <r>
          <rPr>
            <sz val="9"/>
            <color indexed="81"/>
            <rFont val="Tahoma"/>
            <family val="2"/>
          </rPr>
          <t xml:space="preserve"> </t>
        </r>
        <r>
          <rPr>
            <sz val="9"/>
            <color indexed="81"/>
            <rFont val="돋움"/>
            <family val="3"/>
            <charset val="129"/>
          </rPr>
          <t>또</t>
        </r>
        <r>
          <rPr>
            <sz val="9"/>
            <color indexed="81"/>
            <rFont val="Tahoma"/>
            <family val="2"/>
          </rPr>
          <t xml:space="preserve"> </t>
        </r>
        <r>
          <rPr>
            <sz val="9"/>
            <color indexed="81"/>
            <rFont val="돋움"/>
            <family val="3"/>
            <charset val="129"/>
          </rPr>
          <t>그런</t>
        </r>
        <r>
          <rPr>
            <sz val="9"/>
            <color indexed="81"/>
            <rFont val="Tahoma"/>
            <family val="2"/>
          </rPr>
          <t xml:space="preserve"> </t>
        </r>
        <r>
          <rPr>
            <sz val="9"/>
            <color indexed="81"/>
            <rFont val="돋움"/>
            <family val="3"/>
            <charset val="129"/>
          </rPr>
          <t>내용은</t>
        </r>
        <r>
          <rPr>
            <sz val="9"/>
            <color indexed="81"/>
            <rFont val="Tahoma"/>
            <family val="2"/>
          </rPr>
          <t xml:space="preserve"> </t>
        </r>
        <r>
          <rPr>
            <sz val="9"/>
            <color indexed="81"/>
            <rFont val="돋움"/>
            <family val="3"/>
            <charset val="129"/>
          </rPr>
          <t>없고</t>
        </r>
        <r>
          <rPr>
            <sz val="9"/>
            <color indexed="81"/>
            <rFont val="Tahoma"/>
            <family val="2"/>
          </rPr>
          <t>.</t>
        </r>
      </text>
    </comment>
    <comment ref="AF4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scl</t>
        </r>
      </text>
    </comment>
    <comment ref="CC47" authorId="1" shapeId="0">
      <text>
        <r>
          <rPr>
            <b/>
            <sz val="9"/>
            <color indexed="81"/>
            <rFont val="Tahoma"/>
            <family val="2"/>
          </rPr>
          <t>SNUH:</t>
        </r>
        <r>
          <rPr>
            <sz val="9"/>
            <color indexed="81"/>
            <rFont val="Tahoma"/>
            <family val="2"/>
          </rPr>
          <t xml:space="preserve">
o/s PET, </t>
        </r>
        <r>
          <rPr>
            <sz val="9"/>
            <color indexed="81"/>
            <rFont val="돋움"/>
            <family val="3"/>
            <charset val="129"/>
          </rPr>
          <t>외부</t>
        </r>
        <r>
          <rPr>
            <sz val="9"/>
            <color indexed="81"/>
            <rFont val="Tahoma"/>
            <family val="2"/>
          </rPr>
          <t xml:space="preserve"> </t>
        </r>
        <r>
          <rPr>
            <sz val="9"/>
            <color indexed="81"/>
            <rFont val="돋움"/>
            <family val="3"/>
            <charset val="129"/>
          </rPr>
          <t>판독지에는</t>
        </r>
        <r>
          <rPr>
            <sz val="9"/>
            <color indexed="81"/>
            <rFont val="Tahoma"/>
            <family val="2"/>
          </rPr>
          <t xml:space="preserve"> SUV</t>
        </r>
        <r>
          <rPr>
            <sz val="9"/>
            <color indexed="81"/>
            <rFont val="돋움"/>
            <family val="3"/>
            <charset val="129"/>
          </rPr>
          <t>를</t>
        </r>
        <r>
          <rPr>
            <sz val="9"/>
            <color indexed="81"/>
            <rFont val="Tahoma"/>
            <family val="2"/>
          </rPr>
          <t xml:space="preserve"> </t>
        </r>
        <r>
          <rPr>
            <sz val="9"/>
            <color indexed="81"/>
            <rFont val="돋움"/>
            <family val="3"/>
            <charset val="129"/>
          </rPr>
          <t>언급하지</t>
        </r>
        <r>
          <rPr>
            <sz val="9"/>
            <color indexed="81"/>
            <rFont val="Tahoma"/>
            <family val="2"/>
          </rPr>
          <t xml:space="preserve"> </t>
        </r>
        <r>
          <rPr>
            <sz val="9"/>
            <color indexed="81"/>
            <rFont val="돋움"/>
            <family val="3"/>
            <charset val="129"/>
          </rPr>
          <t>않음</t>
        </r>
        <r>
          <rPr>
            <sz val="9"/>
            <color indexed="81"/>
            <rFont val="Tahoma"/>
            <family val="2"/>
          </rPr>
          <t>.</t>
        </r>
      </text>
    </comment>
    <comment ref="DI4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 FP #1 (19.2.26): hold d/t intolerability</t>
        </r>
      </text>
    </comment>
    <comment ref="Y4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EUS</t>
        </r>
        <r>
          <rPr>
            <sz val="9"/>
            <color indexed="81"/>
            <rFont val="돋움"/>
            <family val="3"/>
            <charset val="129"/>
          </rPr>
          <t>상</t>
        </r>
        <r>
          <rPr>
            <sz val="9"/>
            <color indexed="81"/>
            <rFont val="Tahoma"/>
            <family val="2"/>
          </rPr>
          <t xml:space="preserve"> T2</t>
        </r>
        <r>
          <rPr>
            <sz val="9"/>
            <color indexed="81"/>
            <rFont val="돋움"/>
            <family val="3"/>
            <charset val="129"/>
          </rPr>
          <t>라던데</t>
        </r>
        <r>
          <rPr>
            <sz val="9"/>
            <color indexed="81"/>
            <rFont val="Tahoma"/>
            <family val="2"/>
          </rPr>
          <t>...</t>
        </r>
      </text>
    </comment>
    <comment ref="Z4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PET+</t>
        </r>
        <r>
          <rPr>
            <sz val="9"/>
            <color indexed="81"/>
            <rFont val="돋움"/>
            <family val="3"/>
            <charset val="129"/>
          </rPr>
          <t>였다는</t>
        </r>
        <r>
          <rPr>
            <sz val="9"/>
            <color indexed="81"/>
            <rFont val="Tahoma"/>
            <family val="2"/>
          </rPr>
          <t xml:space="preserve"> </t>
        </r>
        <r>
          <rPr>
            <sz val="9"/>
            <color indexed="81"/>
            <rFont val="돋움"/>
            <family val="3"/>
            <charset val="129"/>
          </rPr>
          <t>기록</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그</t>
        </r>
        <r>
          <rPr>
            <sz val="9"/>
            <color indexed="81"/>
            <rFont val="Tahoma"/>
            <family val="2"/>
          </rPr>
          <t xml:space="preserve"> PET</t>
        </r>
        <r>
          <rPr>
            <sz val="9"/>
            <color indexed="81"/>
            <rFont val="돋움"/>
            <family val="3"/>
            <charset val="129"/>
          </rPr>
          <t>은</t>
        </r>
        <r>
          <rPr>
            <sz val="9"/>
            <color indexed="81"/>
            <rFont val="Tahoma"/>
            <family val="2"/>
          </rPr>
          <t xml:space="preserve"> </t>
        </r>
        <r>
          <rPr>
            <sz val="9"/>
            <color indexed="81"/>
            <rFont val="돋움"/>
            <family val="3"/>
            <charset val="129"/>
          </rPr>
          <t>확인되지</t>
        </r>
        <r>
          <rPr>
            <sz val="9"/>
            <color indexed="81"/>
            <rFont val="Tahoma"/>
            <family val="2"/>
          </rPr>
          <t xml:space="preserve"> </t>
        </r>
        <r>
          <rPr>
            <sz val="9"/>
            <color indexed="81"/>
            <rFont val="돋움"/>
            <family val="3"/>
            <charset val="129"/>
          </rPr>
          <t>않는</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같다</t>
        </r>
        <r>
          <rPr>
            <sz val="9"/>
            <color indexed="81"/>
            <rFont val="Tahoma"/>
            <family val="2"/>
          </rPr>
          <t>)</t>
        </r>
      </text>
    </comment>
    <comment ref="BC4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중간에</t>
        </r>
        <r>
          <rPr>
            <sz val="9"/>
            <color indexed="81"/>
            <rFont val="Tahoma"/>
            <family val="2"/>
          </rPr>
          <t xml:space="preserve"> </t>
        </r>
        <r>
          <rPr>
            <sz val="9"/>
            <color indexed="81"/>
            <rFont val="돋움"/>
            <family val="3"/>
            <charset val="129"/>
          </rPr>
          <t>비는</t>
        </r>
        <r>
          <rPr>
            <sz val="9"/>
            <color indexed="81"/>
            <rFont val="Tahoma"/>
            <family val="2"/>
          </rPr>
          <t xml:space="preserve"> </t>
        </r>
        <r>
          <rPr>
            <sz val="9"/>
            <color indexed="81"/>
            <rFont val="돋움"/>
            <family val="3"/>
            <charset val="129"/>
          </rPr>
          <t>부분이</t>
        </r>
        <r>
          <rPr>
            <sz val="9"/>
            <color indexed="81"/>
            <rFont val="Tahoma"/>
            <family val="2"/>
          </rPr>
          <t xml:space="preserve"> </t>
        </r>
        <r>
          <rPr>
            <sz val="9"/>
            <color indexed="81"/>
            <rFont val="돋움"/>
            <family val="3"/>
            <charset val="129"/>
          </rPr>
          <t>있다</t>
        </r>
        <r>
          <rPr>
            <sz val="9"/>
            <color indexed="81"/>
            <rFont val="Tahoma"/>
            <family val="2"/>
          </rPr>
          <t>.</t>
        </r>
      </text>
    </comment>
    <comment ref="BD4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CC48" authorId="1" shapeId="0">
      <text>
        <r>
          <rPr>
            <b/>
            <sz val="9"/>
            <color indexed="81"/>
            <rFont val="Tahoma"/>
            <family val="2"/>
          </rPr>
          <t>SNUH:</t>
        </r>
        <r>
          <rPr>
            <sz val="9"/>
            <color indexed="81"/>
            <rFont val="Tahoma"/>
            <family val="2"/>
          </rPr>
          <t xml:space="preserve">
o/s PET, </t>
        </r>
        <r>
          <rPr>
            <sz val="9"/>
            <color indexed="81"/>
            <rFont val="돋움"/>
            <family val="3"/>
            <charset val="129"/>
          </rPr>
          <t>판독이</t>
        </r>
        <r>
          <rPr>
            <sz val="9"/>
            <color indexed="81"/>
            <rFont val="Tahoma"/>
            <family val="2"/>
          </rPr>
          <t xml:space="preserve"> </t>
        </r>
        <r>
          <rPr>
            <sz val="9"/>
            <color indexed="81"/>
            <rFont val="돋움"/>
            <family val="3"/>
            <charset val="129"/>
          </rPr>
          <t>없다</t>
        </r>
        <r>
          <rPr>
            <sz val="9"/>
            <color indexed="81"/>
            <rFont val="Tahoma"/>
            <family val="2"/>
          </rPr>
          <t>.</t>
        </r>
      </text>
    </comment>
    <comment ref="AF4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neck LN</t>
        </r>
      </text>
    </comment>
    <comment ref="AF5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SCL</t>
        </r>
      </text>
    </comment>
    <comment ref="AO5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SCL</t>
        </r>
        <r>
          <rPr>
            <sz val="9"/>
            <color indexed="81"/>
            <rFont val="돋움"/>
            <family val="3"/>
            <charset val="129"/>
          </rPr>
          <t>은</t>
        </r>
        <r>
          <rPr>
            <sz val="9"/>
            <color indexed="81"/>
            <rFont val="Tahoma"/>
            <family val="2"/>
          </rPr>
          <t xml:space="preserve"> involvement </t>
        </r>
        <r>
          <rPr>
            <sz val="9"/>
            <color indexed="81"/>
            <rFont val="돋움"/>
            <family val="3"/>
            <charset val="129"/>
          </rPr>
          <t>있었고</t>
        </r>
        <r>
          <rPr>
            <sz val="9"/>
            <color indexed="81"/>
            <rFont val="Tahoma"/>
            <family val="2"/>
          </rPr>
          <t>, Rt SCL</t>
        </r>
        <r>
          <rPr>
            <sz val="9"/>
            <color indexed="81"/>
            <rFont val="돋움"/>
            <family val="3"/>
            <charset val="129"/>
          </rPr>
          <t>은</t>
        </r>
        <r>
          <rPr>
            <sz val="9"/>
            <color indexed="81"/>
            <rFont val="Tahoma"/>
            <family val="2"/>
          </rPr>
          <t xml:space="preserve"> elective</t>
        </r>
      </text>
    </comment>
    <comment ref="CC50" authorId="1" shapeId="0">
      <text>
        <r>
          <rPr>
            <b/>
            <sz val="9"/>
            <color indexed="81"/>
            <rFont val="Tahoma"/>
            <family val="2"/>
          </rPr>
          <t>SNUH:</t>
        </r>
        <r>
          <rPr>
            <sz val="9"/>
            <color indexed="81"/>
            <rFont val="Tahoma"/>
            <family val="2"/>
          </rPr>
          <t xml:space="preserve">
o/s PET, </t>
        </r>
        <r>
          <rPr>
            <sz val="9"/>
            <color indexed="81"/>
            <rFont val="돋움"/>
            <family val="3"/>
            <charset val="129"/>
          </rPr>
          <t>판독지</t>
        </r>
        <r>
          <rPr>
            <sz val="9"/>
            <color indexed="81"/>
            <rFont val="Tahoma"/>
            <family val="2"/>
          </rPr>
          <t xml:space="preserve"> </t>
        </r>
        <r>
          <rPr>
            <sz val="9"/>
            <color indexed="81"/>
            <rFont val="돋움"/>
            <family val="3"/>
            <charset val="129"/>
          </rPr>
          <t>없음</t>
        </r>
        <r>
          <rPr>
            <sz val="9"/>
            <color indexed="81"/>
            <rFont val="Tahoma"/>
            <family val="2"/>
          </rPr>
          <t>.</t>
        </r>
      </text>
    </comment>
    <comment ref="CD50" authorId="1" shapeId="0">
      <text>
        <r>
          <rPr>
            <b/>
            <sz val="9"/>
            <color indexed="81"/>
            <rFont val="Tahoma"/>
            <family val="2"/>
          </rPr>
          <t>SNUH:</t>
        </r>
        <r>
          <rPr>
            <sz val="9"/>
            <color indexed="81"/>
            <rFont val="Tahoma"/>
            <family val="2"/>
          </rPr>
          <t xml:space="preserve">
"Upper-mid esophageal wall</t>
        </r>
        <r>
          <rPr>
            <sz val="9"/>
            <color indexed="81"/>
            <rFont val="돋움"/>
            <family val="3"/>
            <charset val="129"/>
          </rPr>
          <t>의</t>
        </r>
        <r>
          <rPr>
            <sz val="9"/>
            <color indexed="81"/>
            <rFont val="Tahoma"/>
            <family val="2"/>
          </rPr>
          <t xml:space="preserve"> </t>
        </r>
        <r>
          <rPr>
            <sz val="9"/>
            <color indexed="81"/>
            <rFont val="돋움"/>
            <family val="3"/>
            <charset val="129"/>
          </rPr>
          <t>전체에</t>
        </r>
        <r>
          <rPr>
            <sz val="9"/>
            <color indexed="81"/>
            <rFont val="Tahoma"/>
            <family val="2"/>
          </rPr>
          <t xml:space="preserve"> </t>
        </r>
        <r>
          <rPr>
            <sz val="9"/>
            <color indexed="81"/>
            <rFont val="돋움"/>
            <family val="3"/>
            <charset val="129"/>
          </rPr>
          <t>걸쳐</t>
        </r>
        <r>
          <rPr>
            <sz val="9"/>
            <color indexed="81"/>
            <rFont val="Tahoma"/>
            <family val="2"/>
          </rPr>
          <t xml:space="preserve"> diffuse FDG uptake</t>
        </r>
        <r>
          <rPr>
            <sz val="9"/>
            <color indexed="81"/>
            <rFont val="돋움"/>
            <family val="3"/>
            <charset val="129"/>
          </rPr>
          <t>가</t>
        </r>
        <r>
          <rPr>
            <sz val="9"/>
            <color indexed="81"/>
            <rFont val="Tahoma"/>
            <family val="2"/>
          </rPr>
          <t xml:space="preserve"> </t>
        </r>
        <r>
          <rPr>
            <sz val="9"/>
            <color indexed="81"/>
            <rFont val="돋움"/>
            <family val="3"/>
            <charset val="129"/>
          </rPr>
          <t>관찰되어</t>
        </r>
        <r>
          <rPr>
            <sz val="9"/>
            <color indexed="81"/>
            <rFont val="Tahoma"/>
            <family val="2"/>
          </rPr>
          <t xml:space="preserve"> underlying malignant lesion</t>
        </r>
        <r>
          <rPr>
            <sz val="9"/>
            <color indexed="81"/>
            <rFont val="돋움"/>
            <family val="3"/>
            <charset val="129"/>
          </rPr>
          <t>의</t>
        </r>
        <r>
          <rPr>
            <sz val="9"/>
            <color indexed="81"/>
            <rFont val="Tahoma"/>
            <family val="2"/>
          </rPr>
          <t xml:space="preserve"> </t>
        </r>
        <r>
          <rPr>
            <sz val="9"/>
            <color indexed="81"/>
            <rFont val="돋움"/>
            <family val="3"/>
            <charset val="129"/>
          </rPr>
          <t>감별에</t>
        </r>
        <r>
          <rPr>
            <sz val="9"/>
            <color indexed="81"/>
            <rFont val="Tahoma"/>
            <family val="2"/>
          </rPr>
          <t xml:space="preserve"> </t>
        </r>
        <r>
          <rPr>
            <sz val="9"/>
            <color indexed="81"/>
            <rFont val="돋움"/>
            <family val="3"/>
            <charset val="129"/>
          </rPr>
          <t>제한이</t>
        </r>
        <r>
          <rPr>
            <sz val="9"/>
            <color indexed="81"/>
            <rFont val="Tahoma"/>
            <family val="2"/>
          </rPr>
          <t xml:space="preserve"> </t>
        </r>
        <r>
          <rPr>
            <sz val="9"/>
            <color indexed="81"/>
            <rFont val="돋움"/>
            <family val="3"/>
            <charset val="129"/>
          </rPr>
          <t>있으며</t>
        </r>
        <r>
          <rPr>
            <sz val="9"/>
            <color indexed="81"/>
            <rFont val="Tahoma"/>
            <family val="2"/>
          </rPr>
          <t xml:space="preserve"> residual uptake </t>
        </r>
        <r>
          <rPr>
            <sz val="9"/>
            <color indexed="81"/>
            <rFont val="돋움"/>
            <family val="3"/>
            <charset val="129"/>
          </rPr>
          <t>완전히</t>
        </r>
        <r>
          <rPr>
            <sz val="9"/>
            <color indexed="81"/>
            <rFont val="Tahoma"/>
            <family val="2"/>
          </rPr>
          <t xml:space="preserve"> </t>
        </r>
        <r>
          <rPr>
            <sz val="9"/>
            <color indexed="81"/>
            <rFont val="돋움"/>
            <family val="3"/>
            <charset val="129"/>
          </rPr>
          <t>배제하기는</t>
        </r>
        <r>
          <rPr>
            <sz val="9"/>
            <color indexed="81"/>
            <rFont val="Tahoma"/>
            <family val="2"/>
          </rPr>
          <t xml:space="preserve"> </t>
        </r>
        <r>
          <rPr>
            <sz val="9"/>
            <color indexed="81"/>
            <rFont val="돋움"/>
            <family val="3"/>
            <charset val="129"/>
          </rPr>
          <t>어려울</t>
        </r>
        <r>
          <rPr>
            <sz val="9"/>
            <color indexed="81"/>
            <rFont val="Tahoma"/>
            <family val="2"/>
          </rPr>
          <t xml:space="preserve"> </t>
        </r>
        <r>
          <rPr>
            <sz val="9"/>
            <color indexed="81"/>
            <rFont val="돋움"/>
            <family val="3"/>
            <charset val="129"/>
          </rPr>
          <t>것으로</t>
        </r>
        <r>
          <rPr>
            <sz val="9"/>
            <color indexed="81"/>
            <rFont val="Tahoma"/>
            <family val="2"/>
          </rPr>
          <t xml:space="preserve"> </t>
        </r>
        <r>
          <rPr>
            <sz val="9"/>
            <color indexed="81"/>
            <rFont val="돋움"/>
            <family val="3"/>
            <charset val="129"/>
          </rPr>
          <t>생각됨</t>
        </r>
        <r>
          <rPr>
            <sz val="9"/>
            <color indexed="81"/>
            <rFont val="Tahoma"/>
            <family val="2"/>
          </rPr>
          <t xml:space="preserve">." SUV </t>
        </r>
        <r>
          <rPr>
            <sz val="9"/>
            <color indexed="81"/>
            <rFont val="돋움"/>
            <family val="3"/>
            <charset val="129"/>
          </rPr>
          <t>보고하지</t>
        </r>
        <r>
          <rPr>
            <sz val="9"/>
            <color indexed="81"/>
            <rFont val="Tahoma"/>
            <family val="2"/>
          </rPr>
          <t xml:space="preserve"> </t>
        </r>
        <r>
          <rPr>
            <sz val="9"/>
            <color indexed="81"/>
            <rFont val="돋움"/>
            <family val="3"/>
            <charset val="129"/>
          </rPr>
          <t>않음</t>
        </r>
        <r>
          <rPr>
            <sz val="9"/>
            <color indexed="81"/>
            <rFont val="Tahoma"/>
            <family val="2"/>
          </rPr>
          <t>.</t>
        </r>
      </text>
    </comment>
    <comment ref="DI5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adjuvant FP #4 ('16.2.15 ~ 16.5.9 )</t>
        </r>
      </text>
    </comment>
    <comment ref="DQ5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첫</t>
        </r>
        <r>
          <rPr>
            <sz val="9"/>
            <color indexed="81"/>
            <rFont val="Tahoma"/>
            <family val="2"/>
          </rPr>
          <t xml:space="preserve"> follow-up PET</t>
        </r>
        <r>
          <rPr>
            <sz val="9"/>
            <color indexed="81"/>
            <rFont val="돋움"/>
            <family val="3"/>
            <charset val="129"/>
          </rPr>
          <t>부터</t>
        </r>
        <r>
          <rPr>
            <sz val="9"/>
            <color indexed="81"/>
            <rFont val="Tahoma"/>
            <family val="2"/>
          </rPr>
          <t xml:space="preserve"> </t>
        </r>
        <r>
          <rPr>
            <sz val="9"/>
            <color indexed="81"/>
            <rFont val="돋움"/>
            <family val="3"/>
            <charset val="129"/>
          </rPr>
          <t>보여서</t>
        </r>
        <r>
          <rPr>
            <sz val="9"/>
            <color indexed="81"/>
            <rFont val="Tahoma"/>
            <family val="2"/>
          </rPr>
          <t xml:space="preserve"> chronological</t>
        </r>
        <r>
          <rPr>
            <sz val="9"/>
            <color indexed="81"/>
            <rFont val="돋움"/>
            <family val="3"/>
            <charset val="129"/>
          </rPr>
          <t>한</t>
        </r>
        <r>
          <rPr>
            <sz val="9"/>
            <color indexed="81"/>
            <rFont val="Tahoma"/>
            <family val="2"/>
          </rPr>
          <t xml:space="preserve"> </t>
        </r>
        <r>
          <rPr>
            <sz val="9"/>
            <color indexed="81"/>
            <rFont val="돋움"/>
            <family val="3"/>
            <charset val="129"/>
          </rPr>
          <t>확인은</t>
        </r>
        <r>
          <rPr>
            <sz val="9"/>
            <color indexed="81"/>
            <rFont val="Tahoma"/>
            <family val="2"/>
          </rPr>
          <t xml:space="preserve"> </t>
        </r>
        <r>
          <rPr>
            <sz val="9"/>
            <color indexed="81"/>
            <rFont val="돋움"/>
            <family val="3"/>
            <charset val="129"/>
          </rPr>
          <t>어렵다</t>
        </r>
        <r>
          <rPr>
            <sz val="9"/>
            <color indexed="81"/>
            <rFont val="Tahoma"/>
            <family val="2"/>
          </rPr>
          <t>.</t>
        </r>
      </text>
    </comment>
    <comment ref="B5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동명이인이다</t>
        </r>
        <r>
          <rPr>
            <sz val="9"/>
            <color indexed="81"/>
            <rFont val="Tahoma"/>
            <family val="2"/>
          </rPr>
          <t>.</t>
        </r>
      </text>
    </comment>
    <comment ref="P5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사실</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병리</t>
        </r>
        <r>
          <rPr>
            <sz val="9"/>
            <color indexed="81"/>
            <rFont val="Tahoma"/>
            <family val="2"/>
          </rPr>
          <t xml:space="preserve"> </t>
        </r>
        <r>
          <rPr>
            <sz val="9"/>
            <color indexed="81"/>
            <rFont val="돋움"/>
            <family val="3"/>
            <charset val="129"/>
          </rPr>
          <t>결과는</t>
        </r>
        <r>
          <rPr>
            <sz val="9"/>
            <color indexed="81"/>
            <rFont val="Tahoma"/>
            <family val="2"/>
          </rPr>
          <t xml:space="preserve"> poorly differntiated carcinoma</t>
        </r>
        <r>
          <rPr>
            <sz val="9"/>
            <color indexed="81"/>
            <rFont val="돋움"/>
            <family val="3"/>
            <charset val="129"/>
          </rPr>
          <t>였다</t>
        </r>
        <r>
          <rPr>
            <sz val="9"/>
            <color indexed="81"/>
            <rFont val="Tahoma"/>
            <family val="2"/>
          </rPr>
          <t>.</t>
        </r>
      </text>
    </comment>
    <comment ref="Z5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초진은</t>
        </r>
        <r>
          <rPr>
            <sz val="9"/>
            <color indexed="81"/>
            <rFont val="Tahoma"/>
            <family val="2"/>
          </rPr>
          <t xml:space="preserve"> 1</t>
        </r>
        <r>
          <rPr>
            <sz val="9"/>
            <color indexed="81"/>
            <rFont val="돋움"/>
            <family val="3"/>
            <charset val="129"/>
          </rPr>
          <t>이라고</t>
        </r>
        <r>
          <rPr>
            <sz val="9"/>
            <color indexed="81"/>
            <rFont val="Tahoma"/>
            <family val="2"/>
          </rPr>
          <t xml:space="preserve"> </t>
        </r>
        <r>
          <rPr>
            <sz val="9"/>
            <color indexed="81"/>
            <rFont val="돋움"/>
            <family val="3"/>
            <charset val="129"/>
          </rPr>
          <t>했지만</t>
        </r>
        <r>
          <rPr>
            <sz val="9"/>
            <color indexed="81"/>
            <rFont val="Tahoma"/>
            <family val="2"/>
          </rPr>
          <t xml:space="preserve"> </t>
        </r>
        <r>
          <rPr>
            <sz val="9"/>
            <color indexed="81"/>
            <rFont val="돋움"/>
            <family val="3"/>
            <charset val="129"/>
          </rPr>
          <t>아무래도</t>
        </r>
        <r>
          <rPr>
            <sz val="9"/>
            <color indexed="81"/>
            <rFont val="Tahoma"/>
            <family val="2"/>
          </rPr>
          <t xml:space="preserve"> involved station</t>
        </r>
        <r>
          <rPr>
            <sz val="9"/>
            <color indexed="81"/>
            <rFont val="돋움"/>
            <family val="3"/>
            <charset val="129"/>
          </rPr>
          <t>이</t>
        </r>
        <r>
          <rPr>
            <sz val="9"/>
            <color indexed="81"/>
            <rFont val="Tahoma"/>
            <family val="2"/>
          </rPr>
          <t xml:space="preserve"> </t>
        </r>
        <r>
          <rPr>
            <sz val="9"/>
            <color indexed="81"/>
            <rFont val="돋움"/>
            <family val="3"/>
            <charset val="129"/>
          </rPr>
          <t>많다</t>
        </r>
        <r>
          <rPr>
            <sz val="9"/>
            <color indexed="81"/>
            <rFont val="Tahoma"/>
            <family val="2"/>
          </rPr>
          <t>.</t>
        </r>
      </text>
    </comment>
    <comment ref="AD5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PET </t>
        </r>
        <r>
          <rPr>
            <sz val="9"/>
            <color indexed="81"/>
            <rFont val="돋움"/>
            <family val="3"/>
            <charset val="129"/>
          </rPr>
          <t>소견이</t>
        </r>
        <r>
          <rPr>
            <sz val="9"/>
            <color indexed="81"/>
            <rFont val="Tahoma"/>
            <family val="2"/>
          </rPr>
          <t xml:space="preserve"> </t>
        </r>
        <r>
          <rPr>
            <sz val="9"/>
            <color indexed="81"/>
            <rFont val="돋움"/>
            <family val="3"/>
            <charset val="129"/>
          </rPr>
          <t>애매하게</t>
        </r>
        <r>
          <rPr>
            <sz val="9"/>
            <color indexed="81"/>
            <rFont val="Tahoma"/>
            <family val="2"/>
          </rPr>
          <t xml:space="preserve"> </t>
        </r>
        <r>
          <rPr>
            <sz val="9"/>
            <color indexed="81"/>
            <rFont val="돋움"/>
            <family val="3"/>
            <charset val="129"/>
          </rPr>
          <t>나온</t>
        </r>
        <r>
          <rPr>
            <sz val="9"/>
            <color indexed="81"/>
            <rFont val="Tahoma"/>
            <family val="2"/>
          </rPr>
          <t xml:space="preserve"> </t>
        </r>
        <r>
          <rPr>
            <sz val="9"/>
            <color indexed="81"/>
            <rFont val="돋움"/>
            <family val="3"/>
            <charset val="129"/>
          </rPr>
          <t>모양이긴</t>
        </r>
        <r>
          <rPr>
            <sz val="9"/>
            <color indexed="81"/>
            <rFont val="Tahoma"/>
            <family val="2"/>
          </rPr>
          <t xml:space="preserve"> </t>
        </r>
        <r>
          <rPr>
            <sz val="9"/>
            <color indexed="81"/>
            <rFont val="돋움"/>
            <family val="3"/>
            <charset val="129"/>
          </rPr>
          <t>하나</t>
        </r>
        <r>
          <rPr>
            <sz val="9"/>
            <color indexed="81"/>
            <rFont val="Tahoma"/>
            <family val="2"/>
          </rPr>
          <t xml:space="preserve">, </t>
        </r>
        <r>
          <rPr>
            <sz val="9"/>
            <color indexed="81"/>
            <rFont val="돋움"/>
            <family val="3"/>
            <charset val="129"/>
          </rPr>
          <t>일단</t>
        </r>
        <r>
          <rPr>
            <sz val="9"/>
            <color indexed="81"/>
            <rFont val="Tahoma"/>
            <family val="2"/>
          </rPr>
          <t xml:space="preserve"> GTV</t>
        </r>
        <r>
          <rPr>
            <sz val="9"/>
            <color indexed="81"/>
            <rFont val="돋움"/>
            <family val="3"/>
            <charset val="129"/>
          </rPr>
          <t>는</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설정이</t>
        </r>
        <r>
          <rPr>
            <sz val="9"/>
            <color indexed="81"/>
            <rFont val="Tahoma"/>
            <family val="2"/>
          </rPr>
          <t xml:space="preserve"> </t>
        </r>
        <r>
          <rPr>
            <sz val="9"/>
            <color indexed="81"/>
            <rFont val="돋움"/>
            <family val="3"/>
            <charset val="129"/>
          </rPr>
          <t>되었다</t>
        </r>
        <r>
          <rPr>
            <sz val="9"/>
            <color indexed="81"/>
            <rFont val="Tahoma"/>
            <family val="2"/>
          </rPr>
          <t>.</t>
        </r>
      </text>
    </comment>
    <comment ref="AX5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GTV</t>
        </r>
        <r>
          <rPr>
            <sz val="9"/>
            <color indexed="81"/>
            <rFont val="돋움"/>
            <family val="3"/>
            <charset val="129"/>
          </rPr>
          <t>에서</t>
        </r>
        <r>
          <rPr>
            <sz val="9"/>
            <color indexed="81"/>
            <rFont val="Tahoma"/>
            <family val="2"/>
          </rPr>
          <t xml:space="preserve"> PTV</t>
        </r>
        <r>
          <rPr>
            <sz val="9"/>
            <color indexed="81"/>
            <rFont val="돋움"/>
            <family val="3"/>
            <charset val="129"/>
          </rPr>
          <t>로</t>
        </r>
        <r>
          <rPr>
            <sz val="9"/>
            <color indexed="81"/>
            <rFont val="Tahoma"/>
            <family val="2"/>
          </rPr>
          <t xml:space="preserve"> </t>
        </r>
        <r>
          <rPr>
            <sz val="9"/>
            <color indexed="81"/>
            <rFont val="돋움"/>
            <family val="3"/>
            <charset val="129"/>
          </rPr>
          <t>바로</t>
        </r>
        <r>
          <rPr>
            <sz val="9"/>
            <color indexed="81"/>
            <rFont val="Tahoma"/>
            <family val="2"/>
          </rPr>
          <t xml:space="preserve"> expansion</t>
        </r>
        <r>
          <rPr>
            <sz val="9"/>
            <color indexed="81"/>
            <rFont val="돋움"/>
            <family val="3"/>
            <charset val="129"/>
          </rPr>
          <t>을</t>
        </r>
        <r>
          <rPr>
            <sz val="9"/>
            <color indexed="81"/>
            <rFont val="Tahoma"/>
            <family val="2"/>
          </rPr>
          <t xml:space="preserve"> </t>
        </r>
        <r>
          <rPr>
            <sz val="9"/>
            <color indexed="81"/>
            <rFont val="돋움"/>
            <family val="3"/>
            <charset val="129"/>
          </rPr>
          <t>시행한</t>
        </r>
        <r>
          <rPr>
            <sz val="9"/>
            <color indexed="81"/>
            <rFont val="Tahoma"/>
            <family val="2"/>
          </rPr>
          <t xml:space="preserve"> </t>
        </r>
        <r>
          <rPr>
            <sz val="9"/>
            <color indexed="81"/>
            <rFont val="돋움"/>
            <family val="3"/>
            <charset val="129"/>
          </rPr>
          <t>것이다</t>
        </r>
        <r>
          <rPr>
            <sz val="9"/>
            <color indexed="81"/>
            <rFont val="Tahoma"/>
            <family val="2"/>
          </rPr>
          <t>.</t>
        </r>
      </text>
    </comment>
    <comment ref="BL5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원래</t>
        </r>
        <r>
          <rPr>
            <sz val="9"/>
            <color indexed="81"/>
            <rFont val="Tahoma"/>
            <family val="2"/>
          </rPr>
          <t xml:space="preserve"> </t>
        </r>
        <r>
          <rPr>
            <sz val="9"/>
            <color indexed="81"/>
            <rFont val="돋움"/>
            <family val="3"/>
            <charset val="129"/>
          </rPr>
          <t>계획은</t>
        </r>
        <r>
          <rPr>
            <sz val="9"/>
            <color indexed="81"/>
            <rFont val="Tahoma"/>
            <family val="2"/>
          </rPr>
          <t xml:space="preserve"> 28</t>
        </r>
        <r>
          <rPr>
            <sz val="9"/>
            <color indexed="81"/>
            <rFont val="돋움"/>
            <family val="3"/>
            <charset val="129"/>
          </rPr>
          <t>이었지만</t>
        </r>
        <r>
          <rPr>
            <sz val="9"/>
            <color indexed="81"/>
            <rFont val="Tahoma"/>
            <family val="2"/>
          </rPr>
          <t xml:space="preserve"> 27</t>
        </r>
        <r>
          <rPr>
            <sz val="9"/>
            <color indexed="81"/>
            <rFont val="돋움"/>
            <family val="3"/>
            <charset val="129"/>
          </rPr>
          <t>까지만</t>
        </r>
        <r>
          <rPr>
            <sz val="9"/>
            <color indexed="81"/>
            <rFont val="Tahoma"/>
            <family val="2"/>
          </rPr>
          <t xml:space="preserve"> </t>
        </r>
        <r>
          <rPr>
            <sz val="9"/>
            <color indexed="81"/>
            <rFont val="돋움"/>
            <family val="3"/>
            <charset val="129"/>
          </rPr>
          <t>시행하였다</t>
        </r>
        <r>
          <rPr>
            <sz val="9"/>
            <color indexed="81"/>
            <rFont val="Tahoma"/>
            <family val="2"/>
          </rPr>
          <t xml:space="preserve">. </t>
        </r>
        <r>
          <rPr>
            <sz val="9"/>
            <color indexed="81"/>
            <rFont val="돋움"/>
            <family val="3"/>
            <charset val="129"/>
          </rPr>
          <t>하지만</t>
        </r>
        <r>
          <rPr>
            <sz val="9"/>
            <color indexed="81"/>
            <rFont val="Tahoma"/>
            <family val="2"/>
          </rPr>
          <t xml:space="preserve"> </t>
        </r>
        <r>
          <rPr>
            <sz val="9"/>
            <color indexed="81"/>
            <rFont val="돋움"/>
            <family val="3"/>
            <charset val="129"/>
          </rPr>
          <t>통상적으로</t>
        </r>
        <r>
          <rPr>
            <sz val="9"/>
            <color indexed="81"/>
            <rFont val="Tahoma"/>
            <family val="2"/>
          </rPr>
          <t xml:space="preserve"> </t>
        </r>
        <r>
          <rPr>
            <sz val="9"/>
            <color indexed="81"/>
            <rFont val="돋움"/>
            <family val="3"/>
            <charset val="129"/>
          </rPr>
          <t>시행하는</t>
        </r>
        <r>
          <rPr>
            <sz val="9"/>
            <color indexed="81"/>
            <rFont val="Tahoma"/>
            <family val="2"/>
          </rPr>
          <t xml:space="preserve"> neoadjuvant dose</t>
        </r>
        <r>
          <rPr>
            <sz val="9"/>
            <color indexed="81"/>
            <rFont val="돋움"/>
            <family val="3"/>
            <charset val="129"/>
          </rPr>
          <t>의</t>
        </r>
        <r>
          <rPr>
            <sz val="9"/>
            <color indexed="81"/>
            <rFont val="Tahoma"/>
            <family val="2"/>
          </rPr>
          <t xml:space="preserve"> </t>
        </r>
        <r>
          <rPr>
            <sz val="9"/>
            <color indexed="81"/>
            <rFont val="돋움"/>
            <family val="3"/>
            <charset val="129"/>
          </rPr>
          <t>범위</t>
        </r>
        <r>
          <rPr>
            <sz val="9"/>
            <color indexed="81"/>
            <rFont val="Tahoma"/>
            <family val="2"/>
          </rPr>
          <t xml:space="preserve"> </t>
        </r>
        <r>
          <rPr>
            <sz val="9"/>
            <color indexed="81"/>
            <rFont val="돋움"/>
            <family val="3"/>
            <charset val="129"/>
          </rPr>
          <t>내에</t>
        </r>
        <r>
          <rPr>
            <sz val="9"/>
            <color indexed="81"/>
            <rFont val="Tahoma"/>
            <family val="2"/>
          </rPr>
          <t xml:space="preserve"> </t>
        </r>
        <r>
          <rPr>
            <sz val="9"/>
            <color indexed="81"/>
            <rFont val="돋움"/>
            <family val="3"/>
            <charset val="129"/>
          </rPr>
          <t>들어가니까</t>
        </r>
        <r>
          <rPr>
            <sz val="9"/>
            <color indexed="81"/>
            <rFont val="Tahoma"/>
            <family val="2"/>
          </rPr>
          <t>.</t>
        </r>
      </text>
    </comment>
    <comment ref="CH5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또</t>
        </r>
        <r>
          <rPr>
            <sz val="9"/>
            <color indexed="81"/>
            <rFont val="Tahoma"/>
            <family val="2"/>
          </rPr>
          <t xml:space="preserve"> </t>
        </r>
        <r>
          <rPr>
            <sz val="9"/>
            <color indexed="81"/>
            <rFont val="돋움"/>
            <family val="3"/>
            <charset val="129"/>
          </rPr>
          <t>수술</t>
        </r>
        <r>
          <rPr>
            <sz val="9"/>
            <color indexed="81"/>
            <rFont val="Tahoma"/>
            <family val="2"/>
          </rPr>
          <t xml:space="preserve"> </t>
        </r>
        <r>
          <rPr>
            <sz val="9"/>
            <color indexed="81"/>
            <rFont val="돋움"/>
            <family val="3"/>
            <charset val="129"/>
          </rPr>
          <t>기록에</t>
        </r>
        <r>
          <rPr>
            <sz val="9"/>
            <color indexed="81"/>
            <rFont val="Tahoma"/>
            <family val="2"/>
          </rPr>
          <t xml:space="preserve"> Ivor Lewis</t>
        </r>
        <r>
          <rPr>
            <sz val="9"/>
            <color indexed="81"/>
            <rFont val="돋움"/>
            <family val="3"/>
            <charset val="129"/>
          </rPr>
          <t>라고</t>
        </r>
        <r>
          <rPr>
            <sz val="9"/>
            <color indexed="81"/>
            <rFont val="Tahoma"/>
            <family val="2"/>
          </rPr>
          <t xml:space="preserve"> </t>
        </r>
        <r>
          <rPr>
            <sz val="9"/>
            <color indexed="81"/>
            <rFont val="돋움"/>
            <family val="3"/>
            <charset val="129"/>
          </rPr>
          <t>적어놓기도</t>
        </r>
        <r>
          <rPr>
            <sz val="9"/>
            <color indexed="81"/>
            <rFont val="Tahoma"/>
            <family val="2"/>
          </rPr>
          <t xml:space="preserve"> </t>
        </r>
        <r>
          <rPr>
            <sz val="9"/>
            <color indexed="81"/>
            <rFont val="돋움"/>
            <family val="3"/>
            <charset val="129"/>
          </rPr>
          <t>해서</t>
        </r>
        <r>
          <rPr>
            <sz val="9"/>
            <color indexed="81"/>
            <rFont val="Tahoma"/>
            <family val="2"/>
          </rPr>
          <t xml:space="preserve"> </t>
        </r>
        <r>
          <rPr>
            <sz val="9"/>
            <color indexed="81"/>
            <rFont val="돋움"/>
            <family val="3"/>
            <charset val="129"/>
          </rPr>
          <t>어느쪽인지</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애매</t>
        </r>
        <r>
          <rPr>
            <sz val="9"/>
            <color indexed="81"/>
            <rFont val="Tahoma"/>
            <family val="2"/>
          </rPr>
          <t xml:space="preserve">. </t>
        </r>
        <r>
          <rPr>
            <sz val="9"/>
            <color indexed="81"/>
            <rFont val="돋움"/>
            <family val="3"/>
            <charset val="129"/>
          </rPr>
          <t>다만</t>
        </r>
        <r>
          <rPr>
            <sz val="9"/>
            <color indexed="81"/>
            <rFont val="Tahoma"/>
            <family val="2"/>
          </rPr>
          <t xml:space="preserve"> </t>
        </r>
        <r>
          <rPr>
            <sz val="9"/>
            <color indexed="81"/>
            <rFont val="돋움"/>
            <family val="3"/>
            <charset val="129"/>
          </rPr>
          <t>외래</t>
        </r>
        <r>
          <rPr>
            <sz val="9"/>
            <color indexed="81"/>
            <rFont val="Tahoma"/>
            <family val="2"/>
          </rPr>
          <t xml:space="preserve"> </t>
        </r>
        <r>
          <rPr>
            <sz val="9"/>
            <color indexed="81"/>
            <rFont val="돋움"/>
            <family val="3"/>
            <charset val="129"/>
          </rPr>
          <t>기록에는</t>
        </r>
        <r>
          <rPr>
            <sz val="9"/>
            <color indexed="81"/>
            <rFont val="Tahoma"/>
            <family val="2"/>
          </rPr>
          <t xml:space="preserve"> </t>
        </r>
        <r>
          <rPr>
            <sz val="9"/>
            <color indexed="81"/>
            <rFont val="돋움"/>
            <family val="3"/>
            <charset val="129"/>
          </rPr>
          <t>꾸준히</t>
        </r>
        <r>
          <rPr>
            <sz val="9"/>
            <color indexed="81"/>
            <rFont val="Tahoma"/>
            <family val="2"/>
          </rPr>
          <t xml:space="preserve"> Mckeown</t>
        </r>
        <r>
          <rPr>
            <sz val="9"/>
            <color indexed="81"/>
            <rFont val="돋움"/>
            <family val="3"/>
            <charset val="129"/>
          </rPr>
          <t>이래</t>
        </r>
        <r>
          <rPr>
            <sz val="9"/>
            <color indexed="81"/>
            <rFont val="Tahoma"/>
            <family val="2"/>
          </rPr>
          <t>.</t>
        </r>
      </text>
    </comment>
    <comment ref="DJ5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2019</t>
        </r>
        <r>
          <rPr>
            <sz val="9"/>
            <color indexed="81"/>
            <rFont val="돋움"/>
            <family val="3"/>
            <charset val="129"/>
          </rPr>
          <t>년에</t>
        </r>
        <r>
          <rPr>
            <sz val="9"/>
            <color indexed="81"/>
            <rFont val="Tahoma"/>
            <family val="2"/>
          </rPr>
          <t xml:space="preserve"> </t>
        </r>
        <r>
          <rPr>
            <sz val="9"/>
            <color indexed="81"/>
            <rFont val="돋움"/>
            <family val="3"/>
            <charset val="129"/>
          </rPr>
          <t>전화</t>
        </r>
        <r>
          <rPr>
            <sz val="9"/>
            <color indexed="81"/>
            <rFont val="Tahoma"/>
            <family val="2"/>
          </rPr>
          <t xml:space="preserve"> follow-up</t>
        </r>
        <r>
          <rPr>
            <sz val="9"/>
            <color indexed="81"/>
            <rFont val="돋움"/>
            <family val="3"/>
            <charset val="129"/>
          </rPr>
          <t>이</t>
        </r>
        <r>
          <rPr>
            <sz val="9"/>
            <color indexed="81"/>
            <rFont val="Tahoma"/>
            <family val="2"/>
          </rPr>
          <t xml:space="preserve"> </t>
        </r>
        <r>
          <rPr>
            <sz val="9"/>
            <color indexed="81"/>
            <rFont val="돋움"/>
            <family val="3"/>
            <charset val="129"/>
          </rPr>
          <t>있긴</t>
        </r>
        <r>
          <rPr>
            <sz val="9"/>
            <color indexed="81"/>
            <rFont val="Tahoma"/>
            <family val="2"/>
          </rPr>
          <t xml:space="preserve"> </t>
        </r>
        <r>
          <rPr>
            <sz val="9"/>
            <color indexed="81"/>
            <rFont val="돋움"/>
            <family val="3"/>
            <charset val="129"/>
          </rPr>
          <t>했다</t>
        </r>
        <r>
          <rPr>
            <sz val="9"/>
            <color indexed="81"/>
            <rFont val="Tahoma"/>
            <family val="2"/>
          </rPr>
          <t>.</t>
        </r>
      </text>
    </comment>
    <comment ref="Y5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EUS</t>
        </r>
        <r>
          <rPr>
            <sz val="9"/>
            <color indexed="81"/>
            <rFont val="돋움"/>
            <family val="3"/>
            <charset val="129"/>
          </rPr>
          <t>를</t>
        </r>
        <r>
          <rPr>
            <sz val="9"/>
            <color indexed="81"/>
            <rFont val="Tahoma"/>
            <family val="2"/>
          </rPr>
          <t xml:space="preserve"> </t>
        </r>
        <r>
          <rPr>
            <sz val="9"/>
            <color indexed="81"/>
            <rFont val="돋움"/>
            <family val="3"/>
            <charset val="129"/>
          </rPr>
          <t>안해서</t>
        </r>
        <r>
          <rPr>
            <sz val="9"/>
            <color indexed="81"/>
            <rFont val="Tahoma"/>
            <family val="2"/>
          </rPr>
          <t xml:space="preserve"> </t>
        </r>
        <r>
          <rPr>
            <sz val="9"/>
            <color indexed="81"/>
            <rFont val="돋움"/>
            <family val="3"/>
            <charset val="129"/>
          </rPr>
          <t>정확한</t>
        </r>
        <r>
          <rPr>
            <sz val="9"/>
            <color indexed="81"/>
            <rFont val="Tahoma"/>
            <family val="2"/>
          </rPr>
          <t xml:space="preserve"> </t>
        </r>
        <r>
          <rPr>
            <sz val="9"/>
            <color indexed="81"/>
            <rFont val="돋움"/>
            <family val="3"/>
            <charset val="129"/>
          </rPr>
          <t>기록이</t>
        </r>
        <r>
          <rPr>
            <sz val="9"/>
            <color indexed="81"/>
            <rFont val="Tahoma"/>
            <family val="2"/>
          </rPr>
          <t xml:space="preserve"> </t>
        </r>
        <r>
          <rPr>
            <sz val="9"/>
            <color indexed="81"/>
            <rFont val="돋움"/>
            <family val="3"/>
            <charset val="129"/>
          </rPr>
          <t>없다</t>
        </r>
        <r>
          <rPr>
            <sz val="9"/>
            <color indexed="81"/>
            <rFont val="Tahoma"/>
            <family val="2"/>
          </rPr>
          <t xml:space="preserve">. T2 </t>
        </r>
        <r>
          <rPr>
            <sz val="9"/>
            <color indexed="81"/>
            <rFont val="돋움"/>
            <family val="3"/>
            <charset val="129"/>
          </rPr>
          <t>정도로</t>
        </r>
        <r>
          <rPr>
            <sz val="9"/>
            <color indexed="81"/>
            <rFont val="Tahoma"/>
            <family val="2"/>
          </rPr>
          <t xml:space="preserve"> </t>
        </r>
        <r>
          <rPr>
            <sz val="9"/>
            <color indexed="81"/>
            <rFont val="돋움"/>
            <family val="3"/>
            <charset val="129"/>
          </rPr>
          <t>봐도</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않으려나</t>
        </r>
        <r>
          <rPr>
            <sz val="9"/>
            <color indexed="81"/>
            <rFont val="Tahoma"/>
            <family val="2"/>
          </rPr>
          <t>.</t>
        </r>
      </text>
    </comment>
    <comment ref="AU5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proximal 5cm, distal 2cm</t>
        </r>
      </text>
    </comment>
    <comment ref="CC52" authorId="1" shapeId="0">
      <text>
        <r>
          <rPr>
            <b/>
            <sz val="9"/>
            <color indexed="81"/>
            <rFont val="Tahoma"/>
            <family val="2"/>
          </rPr>
          <t>SNUH:</t>
        </r>
        <r>
          <rPr>
            <sz val="9"/>
            <color indexed="81"/>
            <rFont val="Tahoma"/>
            <family val="2"/>
          </rPr>
          <t xml:space="preserve">
o/s PET, </t>
        </r>
        <r>
          <rPr>
            <sz val="9"/>
            <color indexed="81"/>
            <rFont val="돋움"/>
            <family val="3"/>
            <charset val="129"/>
          </rPr>
          <t>외부</t>
        </r>
        <r>
          <rPr>
            <sz val="9"/>
            <color indexed="81"/>
            <rFont val="Tahoma"/>
            <family val="2"/>
          </rPr>
          <t xml:space="preserve"> </t>
        </r>
        <r>
          <rPr>
            <sz val="9"/>
            <color indexed="81"/>
            <rFont val="돋움"/>
            <family val="3"/>
            <charset val="129"/>
          </rPr>
          <t>판독</t>
        </r>
        <r>
          <rPr>
            <sz val="9"/>
            <color indexed="81"/>
            <rFont val="Tahoma"/>
            <family val="2"/>
          </rPr>
          <t xml:space="preserve"> </t>
        </r>
        <r>
          <rPr>
            <sz val="9"/>
            <color indexed="81"/>
            <rFont val="돋움"/>
            <family val="3"/>
            <charset val="129"/>
          </rPr>
          <t>없음</t>
        </r>
      </text>
    </comment>
    <comment ref="B5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동명이인이다</t>
        </r>
        <r>
          <rPr>
            <sz val="9"/>
            <color indexed="81"/>
            <rFont val="Tahoma"/>
            <family val="2"/>
          </rPr>
          <t>.</t>
        </r>
      </text>
    </comment>
    <comment ref="P5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언급</t>
        </r>
        <r>
          <rPr>
            <sz val="9"/>
            <color indexed="81"/>
            <rFont val="Tahoma"/>
            <family val="2"/>
          </rPr>
          <t xml:space="preserve"> </t>
        </r>
        <r>
          <rPr>
            <sz val="9"/>
            <color indexed="81"/>
            <rFont val="돋움"/>
            <family val="3"/>
            <charset val="129"/>
          </rPr>
          <t>없음</t>
        </r>
      </text>
    </comment>
    <comment ref="AF5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scn, neck</t>
        </r>
      </text>
    </comment>
    <comment ref="CC53" authorId="1" shapeId="0">
      <text>
        <r>
          <rPr>
            <b/>
            <sz val="9"/>
            <color indexed="81"/>
            <rFont val="Tahoma"/>
            <family val="2"/>
          </rPr>
          <t>SNUH:</t>
        </r>
        <r>
          <rPr>
            <sz val="9"/>
            <color indexed="81"/>
            <rFont val="Tahoma"/>
            <family val="2"/>
          </rPr>
          <t xml:space="preserve">
o/s PET, </t>
        </r>
        <r>
          <rPr>
            <sz val="9"/>
            <color indexed="81"/>
            <rFont val="돋움"/>
            <family val="3"/>
            <charset val="129"/>
          </rPr>
          <t>판독지</t>
        </r>
        <r>
          <rPr>
            <sz val="9"/>
            <color indexed="81"/>
            <rFont val="Tahoma"/>
            <family val="2"/>
          </rPr>
          <t xml:space="preserve"> </t>
        </r>
        <r>
          <rPr>
            <sz val="9"/>
            <color indexed="81"/>
            <rFont val="돋움"/>
            <family val="3"/>
            <charset val="129"/>
          </rPr>
          <t>없음</t>
        </r>
      </text>
    </comment>
    <comment ref="CW5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cannot be assessed, but very close</t>
        </r>
      </text>
    </comment>
    <comment ref="FU5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stricture </t>
        </r>
        <r>
          <rPr>
            <sz val="9"/>
            <color indexed="81"/>
            <rFont val="돋움"/>
            <family val="3"/>
            <charset val="129"/>
          </rPr>
          <t>때문에</t>
        </r>
        <r>
          <rPr>
            <sz val="9"/>
            <color indexed="81"/>
            <rFont val="Tahoma"/>
            <family val="2"/>
          </rPr>
          <t xml:space="preserve"> conventional scope</t>
        </r>
        <r>
          <rPr>
            <sz val="9"/>
            <color indexed="81"/>
            <rFont val="돋움"/>
            <family val="3"/>
            <charset val="129"/>
          </rPr>
          <t>는</t>
        </r>
        <r>
          <rPr>
            <sz val="9"/>
            <color indexed="81"/>
            <rFont val="Tahoma"/>
            <family val="2"/>
          </rPr>
          <t xml:space="preserve"> </t>
        </r>
        <r>
          <rPr>
            <sz val="9"/>
            <color indexed="81"/>
            <rFont val="돋움"/>
            <family val="3"/>
            <charset val="129"/>
          </rPr>
          <t>통과하지</t>
        </r>
        <r>
          <rPr>
            <sz val="9"/>
            <color indexed="81"/>
            <rFont val="Tahoma"/>
            <family val="2"/>
          </rPr>
          <t xml:space="preserve"> </t>
        </r>
        <r>
          <rPr>
            <sz val="9"/>
            <color indexed="81"/>
            <rFont val="돋움"/>
            <family val="3"/>
            <charset val="129"/>
          </rPr>
          <t>못함</t>
        </r>
        <r>
          <rPr>
            <sz val="9"/>
            <color indexed="81"/>
            <rFont val="Tahoma"/>
            <family val="2"/>
          </rPr>
          <t>. Balloon dilatation</t>
        </r>
        <r>
          <rPr>
            <sz val="9"/>
            <color indexed="81"/>
            <rFont val="돋움"/>
            <family val="3"/>
            <charset val="129"/>
          </rPr>
          <t>은</t>
        </r>
        <r>
          <rPr>
            <sz val="9"/>
            <color indexed="81"/>
            <rFont val="Tahoma"/>
            <family val="2"/>
          </rPr>
          <t xml:space="preserve"> </t>
        </r>
        <r>
          <rPr>
            <sz val="9"/>
            <color indexed="81"/>
            <rFont val="돋움"/>
            <family val="3"/>
            <charset val="129"/>
          </rPr>
          <t>안한</t>
        </r>
        <r>
          <rPr>
            <sz val="9"/>
            <color indexed="81"/>
            <rFont val="Tahoma"/>
            <family val="2"/>
          </rPr>
          <t xml:space="preserve"> </t>
        </r>
        <r>
          <rPr>
            <sz val="9"/>
            <color indexed="81"/>
            <rFont val="돋움"/>
            <family val="3"/>
            <charset val="129"/>
          </rPr>
          <t>듯</t>
        </r>
        <r>
          <rPr>
            <sz val="9"/>
            <color indexed="81"/>
            <rFont val="Tahoma"/>
            <family val="2"/>
          </rPr>
          <t xml:space="preserve">. </t>
        </r>
        <r>
          <rPr>
            <sz val="9"/>
            <color indexed="81"/>
            <rFont val="돋움"/>
            <family val="3"/>
            <charset val="129"/>
          </rPr>
          <t>증상은</t>
        </r>
        <r>
          <rPr>
            <sz val="9"/>
            <color indexed="81"/>
            <rFont val="Tahoma"/>
            <family val="2"/>
          </rPr>
          <t xml:space="preserve"> </t>
        </r>
        <r>
          <rPr>
            <sz val="9"/>
            <color indexed="81"/>
            <rFont val="돋움"/>
            <family val="3"/>
            <charset val="129"/>
          </rPr>
          <t>없다</t>
        </r>
        <r>
          <rPr>
            <sz val="9"/>
            <color indexed="81"/>
            <rFont val="Tahoma"/>
            <family val="2"/>
          </rPr>
          <t>.</t>
        </r>
      </text>
    </comment>
    <comment ref="B54"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t>
        </r>
        <r>
          <rPr>
            <sz val="9"/>
            <color rgb="FF000000"/>
            <rFont val="Tahoma"/>
            <family val="2"/>
          </rPr>
          <t xml:space="preserve">
</t>
        </r>
        <r>
          <rPr>
            <sz val="9"/>
            <color rgb="FF000000"/>
            <rFont val="돋움"/>
            <family val="2"/>
            <charset val="129"/>
          </rPr>
          <t>동명이인이다</t>
        </r>
      </text>
    </comment>
    <comment ref="AO5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t>
        </r>
        <r>
          <rPr>
            <sz val="9"/>
            <color indexed="81"/>
            <rFont val="돋움"/>
            <family val="3"/>
            <charset val="129"/>
          </rPr>
          <t>는</t>
        </r>
        <r>
          <rPr>
            <sz val="9"/>
            <color indexed="81"/>
            <rFont val="Tahoma"/>
            <family val="2"/>
          </rPr>
          <t xml:space="preserve"> </t>
        </r>
        <r>
          <rPr>
            <sz val="9"/>
            <color indexed="81"/>
            <rFont val="돋움"/>
            <family val="3"/>
            <charset val="129"/>
          </rPr>
          <t>이미</t>
        </r>
        <r>
          <rPr>
            <sz val="9"/>
            <color indexed="81"/>
            <rFont val="Tahoma"/>
            <family val="2"/>
          </rPr>
          <t xml:space="preserve"> involvement</t>
        </r>
        <r>
          <rPr>
            <sz val="9"/>
            <color indexed="81"/>
            <rFont val="돋움"/>
            <family val="3"/>
            <charset val="129"/>
          </rPr>
          <t>가</t>
        </r>
        <r>
          <rPr>
            <sz val="9"/>
            <color indexed="81"/>
            <rFont val="Tahoma"/>
            <family val="2"/>
          </rPr>
          <t xml:space="preserve"> </t>
        </r>
        <r>
          <rPr>
            <sz val="9"/>
            <color indexed="81"/>
            <rFont val="돋움"/>
            <family val="3"/>
            <charset val="129"/>
          </rPr>
          <t>있고</t>
        </r>
        <r>
          <rPr>
            <sz val="9"/>
            <color indexed="81"/>
            <rFont val="Tahoma"/>
            <family val="2"/>
          </rPr>
          <t>, Rt</t>
        </r>
        <r>
          <rPr>
            <sz val="9"/>
            <color indexed="81"/>
            <rFont val="돋움"/>
            <family val="3"/>
            <charset val="129"/>
          </rPr>
          <t>는</t>
        </r>
        <r>
          <rPr>
            <sz val="9"/>
            <color indexed="81"/>
            <rFont val="Tahoma"/>
            <family val="2"/>
          </rPr>
          <t xml:space="preserve"> elective</t>
        </r>
      </text>
    </comment>
    <comment ref="BU5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5</t>
        </r>
        <r>
          <rPr>
            <sz val="9"/>
            <color indexed="81"/>
            <rFont val="돋움"/>
            <family val="3"/>
            <charset val="129"/>
          </rPr>
          <t>번</t>
        </r>
        <r>
          <rPr>
            <sz val="9"/>
            <color indexed="81"/>
            <rFont val="Tahoma"/>
            <family val="2"/>
          </rPr>
          <t xml:space="preserve"> </t>
        </r>
        <r>
          <rPr>
            <sz val="9"/>
            <color indexed="81"/>
            <rFont val="돋움"/>
            <family val="3"/>
            <charset val="129"/>
          </rPr>
          <t>계획되어</t>
        </r>
        <r>
          <rPr>
            <sz val="9"/>
            <color indexed="81"/>
            <rFont val="Tahoma"/>
            <family val="2"/>
          </rPr>
          <t xml:space="preserve"> </t>
        </r>
        <r>
          <rPr>
            <sz val="9"/>
            <color indexed="81"/>
            <rFont val="돋움"/>
            <family val="3"/>
            <charset val="129"/>
          </rPr>
          <t>있었으나</t>
        </r>
        <r>
          <rPr>
            <sz val="9"/>
            <color indexed="81"/>
            <rFont val="Tahoma"/>
            <family val="2"/>
          </rPr>
          <t xml:space="preserve">, </t>
        </r>
        <r>
          <rPr>
            <sz val="9"/>
            <color indexed="81"/>
            <rFont val="돋움"/>
            <family val="3"/>
            <charset val="129"/>
          </rPr>
          <t>마지막주는</t>
        </r>
        <r>
          <rPr>
            <sz val="9"/>
            <color indexed="81"/>
            <rFont val="Tahoma"/>
            <family val="2"/>
          </rPr>
          <t xml:space="preserve"> hold</t>
        </r>
        <r>
          <rPr>
            <sz val="9"/>
            <color indexed="81"/>
            <rFont val="돋움"/>
            <family val="3"/>
            <charset val="129"/>
          </rPr>
          <t>했다</t>
        </r>
        <r>
          <rPr>
            <sz val="9"/>
            <color indexed="81"/>
            <rFont val="Tahoma"/>
            <family val="2"/>
          </rPr>
          <t>.</t>
        </r>
      </text>
    </comment>
    <comment ref="DH5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 FP #4 ('16.1.16~ 16.4.22) </t>
        </r>
      </text>
    </comment>
    <comment ref="DI5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PORT (16.2Gy, 2015/12/24-16/01/07)</t>
        </r>
      </text>
    </comment>
    <comment ref="FX5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SCL</t>
        </r>
        <r>
          <rPr>
            <sz val="9"/>
            <color indexed="81"/>
            <rFont val="돋움"/>
            <family val="3"/>
            <charset val="129"/>
          </rPr>
          <t>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것이다</t>
        </r>
        <r>
          <rPr>
            <sz val="9"/>
            <color indexed="81"/>
            <rFont val="Tahoma"/>
            <family val="2"/>
          </rPr>
          <t>.</t>
        </r>
      </text>
    </comment>
    <comment ref="AD5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scl</t>
        </r>
        <r>
          <rPr>
            <sz val="9"/>
            <color indexed="81"/>
            <rFont val="돋움"/>
            <family val="3"/>
            <charset val="129"/>
          </rPr>
          <t>은</t>
        </r>
        <r>
          <rPr>
            <sz val="9"/>
            <color indexed="81"/>
            <rFont val="Tahoma"/>
            <family val="2"/>
          </rPr>
          <t xml:space="preserve"> </t>
        </r>
        <r>
          <rPr>
            <sz val="9"/>
            <color indexed="81"/>
            <rFont val="돋움"/>
            <family val="3"/>
            <charset val="129"/>
          </rPr>
          <t>치료는</t>
        </r>
        <r>
          <rPr>
            <sz val="9"/>
            <color indexed="81"/>
            <rFont val="Tahoma"/>
            <family val="2"/>
          </rPr>
          <t xml:space="preserve"> </t>
        </r>
        <r>
          <rPr>
            <sz val="9"/>
            <color indexed="81"/>
            <rFont val="돋움"/>
            <family val="3"/>
            <charset val="129"/>
          </rPr>
          <t>했는데</t>
        </r>
        <r>
          <rPr>
            <sz val="9"/>
            <color indexed="81"/>
            <rFont val="Tahoma"/>
            <family val="2"/>
          </rPr>
          <t xml:space="preserve"> GTV</t>
        </r>
        <r>
          <rPr>
            <sz val="9"/>
            <color indexed="81"/>
            <rFont val="돋움"/>
            <family val="3"/>
            <charset val="129"/>
          </rPr>
          <t>를</t>
        </r>
        <r>
          <rPr>
            <sz val="9"/>
            <color indexed="81"/>
            <rFont val="Tahoma"/>
            <family val="2"/>
          </rPr>
          <t xml:space="preserve"> </t>
        </r>
        <r>
          <rPr>
            <sz val="9"/>
            <color indexed="81"/>
            <rFont val="돋움"/>
            <family val="3"/>
            <charset val="129"/>
          </rPr>
          <t>안잡았더라고</t>
        </r>
        <r>
          <rPr>
            <sz val="9"/>
            <color indexed="81"/>
            <rFont val="Tahoma"/>
            <family val="2"/>
          </rPr>
          <t>...</t>
        </r>
      </text>
    </comment>
    <comment ref="BC5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hypopharynx</t>
        </r>
        <r>
          <rPr>
            <sz val="9"/>
            <color indexed="81"/>
            <rFont val="돋움"/>
            <family val="3"/>
            <charset val="129"/>
          </rPr>
          <t>로</t>
        </r>
        <r>
          <rPr>
            <sz val="9"/>
            <color indexed="81"/>
            <rFont val="Tahoma"/>
            <family val="2"/>
          </rPr>
          <t xml:space="preserve"> </t>
        </r>
        <r>
          <rPr>
            <sz val="9"/>
            <color indexed="81"/>
            <rFont val="돋움"/>
            <family val="3"/>
            <charset val="129"/>
          </rPr>
          <t>인해</t>
        </r>
        <r>
          <rPr>
            <sz val="9"/>
            <color indexed="81"/>
            <rFont val="Tahoma"/>
            <family val="2"/>
          </rPr>
          <t xml:space="preserve"> </t>
        </r>
        <r>
          <rPr>
            <sz val="9"/>
            <color indexed="81"/>
            <rFont val="돋움"/>
            <family val="3"/>
            <charset val="129"/>
          </rPr>
          <t>제한</t>
        </r>
      </text>
    </comment>
    <comment ref="FU5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stricture</t>
        </r>
        <r>
          <rPr>
            <sz val="9"/>
            <color indexed="81"/>
            <rFont val="돋움"/>
            <family val="3"/>
            <charset val="129"/>
          </rPr>
          <t>이</t>
        </r>
        <r>
          <rPr>
            <sz val="9"/>
            <color indexed="81"/>
            <rFont val="Tahoma"/>
            <family val="2"/>
          </rPr>
          <t xml:space="preserve"> </t>
        </r>
        <r>
          <rPr>
            <sz val="9"/>
            <color indexed="81"/>
            <rFont val="돋움"/>
            <family val="3"/>
            <charset val="129"/>
          </rPr>
          <t>있긴</t>
        </r>
        <r>
          <rPr>
            <sz val="9"/>
            <color indexed="81"/>
            <rFont val="Tahoma"/>
            <family val="2"/>
          </rPr>
          <t xml:space="preserve"> </t>
        </r>
        <r>
          <rPr>
            <sz val="9"/>
            <color indexed="81"/>
            <rFont val="돋움"/>
            <family val="3"/>
            <charset val="129"/>
          </rPr>
          <t>하나</t>
        </r>
        <r>
          <rPr>
            <sz val="9"/>
            <color indexed="81"/>
            <rFont val="Tahoma"/>
            <family val="2"/>
          </rPr>
          <t xml:space="preserve"> EGD scope </t>
        </r>
        <r>
          <rPr>
            <sz val="9"/>
            <color indexed="81"/>
            <rFont val="돋움"/>
            <family val="3"/>
            <charset val="129"/>
          </rPr>
          <t>통과는</t>
        </r>
        <r>
          <rPr>
            <sz val="9"/>
            <color indexed="81"/>
            <rFont val="Tahoma"/>
            <family val="2"/>
          </rPr>
          <t xml:space="preserve"> </t>
        </r>
        <r>
          <rPr>
            <sz val="9"/>
            <color indexed="81"/>
            <rFont val="돋움"/>
            <family val="3"/>
            <charset val="129"/>
          </rPr>
          <t>가능하였음</t>
        </r>
        <r>
          <rPr>
            <sz val="9"/>
            <color indexed="81"/>
            <rFont val="Tahoma"/>
            <family val="2"/>
          </rPr>
          <t>. No balloon dilatation.</t>
        </r>
      </text>
    </comment>
    <comment ref="T5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azygos vein level</t>
        </r>
        <r>
          <rPr>
            <sz val="9"/>
            <color indexed="81"/>
            <rFont val="돋움"/>
            <family val="3"/>
            <charset val="129"/>
          </rPr>
          <t>에</t>
        </r>
        <r>
          <rPr>
            <sz val="9"/>
            <color indexed="81"/>
            <rFont val="Tahoma"/>
            <family val="2"/>
          </rPr>
          <t xml:space="preserve"> </t>
        </r>
        <r>
          <rPr>
            <sz val="9"/>
            <color indexed="81"/>
            <rFont val="돋움"/>
            <family val="3"/>
            <charset val="129"/>
          </rPr>
          <t>걸쳐져</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굳이</t>
        </r>
        <r>
          <rPr>
            <sz val="9"/>
            <color indexed="81"/>
            <rFont val="Tahoma"/>
            <family val="2"/>
          </rPr>
          <t xml:space="preserve"> </t>
        </r>
        <r>
          <rPr>
            <sz val="9"/>
            <color indexed="81"/>
            <rFont val="돋움"/>
            <family val="3"/>
            <charset val="129"/>
          </rPr>
          <t>따지자면</t>
        </r>
        <r>
          <rPr>
            <sz val="9"/>
            <color indexed="81"/>
            <rFont val="Tahoma"/>
            <family val="2"/>
          </rPr>
          <t xml:space="preserve"> upper?</t>
        </r>
      </text>
    </comment>
    <comment ref="BC5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LN metastasis</t>
        </r>
        <r>
          <rPr>
            <sz val="9"/>
            <color indexed="81"/>
            <rFont val="돋움"/>
            <family val="3"/>
            <charset val="129"/>
          </rPr>
          <t>로</t>
        </r>
        <r>
          <rPr>
            <sz val="9"/>
            <color indexed="81"/>
            <rFont val="Tahoma"/>
            <family val="2"/>
          </rPr>
          <t xml:space="preserve"> </t>
        </r>
        <r>
          <rPr>
            <sz val="9"/>
            <color indexed="81"/>
            <rFont val="돋움"/>
            <family val="3"/>
            <charset val="129"/>
          </rPr>
          <t>인해서</t>
        </r>
        <r>
          <rPr>
            <sz val="9"/>
            <color indexed="81"/>
            <rFont val="Tahoma"/>
            <family val="2"/>
          </rPr>
          <t xml:space="preserve"> CTV expansion</t>
        </r>
        <r>
          <rPr>
            <sz val="9"/>
            <color indexed="81"/>
            <rFont val="돋움"/>
            <family val="3"/>
            <charset val="129"/>
          </rPr>
          <t>이</t>
        </r>
        <r>
          <rPr>
            <sz val="9"/>
            <color indexed="81"/>
            <rFont val="Tahoma"/>
            <family val="2"/>
          </rPr>
          <t xml:space="preserve"> </t>
        </r>
        <r>
          <rPr>
            <sz val="9"/>
            <color indexed="81"/>
            <rFont val="돋움"/>
            <family val="3"/>
            <charset val="129"/>
          </rPr>
          <t>된</t>
        </r>
        <r>
          <rPr>
            <sz val="9"/>
            <color indexed="81"/>
            <rFont val="Tahoma"/>
            <family val="2"/>
          </rPr>
          <t xml:space="preserve"> </t>
        </r>
        <r>
          <rPr>
            <sz val="9"/>
            <color indexed="81"/>
            <rFont val="돋움"/>
            <family val="3"/>
            <charset val="129"/>
          </rPr>
          <t>것임</t>
        </r>
        <r>
          <rPr>
            <sz val="9"/>
            <color indexed="81"/>
            <rFont val="Tahoma"/>
            <family val="2"/>
          </rPr>
          <t>.</t>
        </r>
      </text>
    </comment>
    <comment ref="CH5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r/o metastatic mass</t>
        </r>
        <r>
          <rPr>
            <sz val="9"/>
            <color indexed="81"/>
            <rFont val="돋움"/>
            <family val="3"/>
            <charset val="129"/>
          </rPr>
          <t>로</t>
        </r>
        <r>
          <rPr>
            <sz val="9"/>
            <color indexed="81"/>
            <rFont val="Tahoma"/>
            <family val="2"/>
          </rPr>
          <t xml:space="preserve"> </t>
        </r>
        <r>
          <rPr>
            <sz val="9"/>
            <color indexed="81"/>
            <rFont val="돋움"/>
            <family val="3"/>
            <charset val="129"/>
          </rPr>
          <t>인해서</t>
        </r>
        <r>
          <rPr>
            <sz val="9"/>
            <color indexed="81"/>
            <rFont val="Tahoma"/>
            <family val="2"/>
          </rPr>
          <t xml:space="preserve"> RLL wedge resection</t>
        </r>
        <r>
          <rPr>
            <sz val="9"/>
            <color indexed="81"/>
            <rFont val="돋움"/>
            <family val="3"/>
            <charset val="129"/>
          </rPr>
          <t>도</t>
        </r>
        <r>
          <rPr>
            <sz val="9"/>
            <color indexed="81"/>
            <rFont val="Tahoma"/>
            <family val="2"/>
          </rPr>
          <t xml:space="preserve"> </t>
        </r>
        <r>
          <rPr>
            <sz val="9"/>
            <color indexed="81"/>
            <rFont val="돋움"/>
            <family val="3"/>
            <charset val="129"/>
          </rPr>
          <t>실시하였으나</t>
        </r>
        <r>
          <rPr>
            <sz val="9"/>
            <color indexed="81"/>
            <rFont val="Tahoma"/>
            <family val="2"/>
          </rPr>
          <t xml:space="preserve">, disease </t>
        </r>
        <r>
          <rPr>
            <sz val="9"/>
            <color indexed="81"/>
            <rFont val="돋움"/>
            <family val="3"/>
            <charset val="129"/>
          </rPr>
          <t>없었다</t>
        </r>
        <r>
          <rPr>
            <sz val="9"/>
            <color indexed="81"/>
            <rFont val="Tahoma"/>
            <family val="2"/>
          </rPr>
          <t>.</t>
        </r>
      </text>
    </comment>
    <comment ref="CZ5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mediastinum</t>
        </r>
        <r>
          <rPr>
            <sz val="9"/>
            <color indexed="81"/>
            <rFont val="돋움"/>
            <family val="3"/>
            <charset val="129"/>
          </rPr>
          <t>에서</t>
        </r>
        <r>
          <rPr>
            <sz val="9"/>
            <color indexed="81"/>
            <rFont val="Tahoma"/>
            <family val="2"/>
          </rPr>
          <t xml:space="preserve"> 1, neck</t>
        </r>
        <r>
          <rPr>
            <sz val="9"/>
            <color indexed="81"/>
            <rFont val="돋움"/>
            <family val="3"/>
            <charset val="129"/>
          </rPr>
          <t>에서</t>
        </r>
        <r>
          <rPr>
            <sz val="9"/>
            <color indexed="81"/>
            <rFont val="Tahoma"/>
            <family val="2"/>
          </rPr>
          <t xml:space="preserve"> 7</t>
        </r>
      </text>
    </comment>
    <comment ref="DA5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mediastinum</t>
        </r>
        <r>
          <rPr>
            <sz val="9"/>
            <color indexed="81"/>
            <rFont val="돋움"/>
            <family val="3"/>
            <charset val="129"/>
          </rPr>
          <t>에서</t>
        </r>
        <r>
          <rPr>
            <sz val="9"/>
            <color indexed="81"/>
            <rFont val="Tahoma"/>
            <family val="2"/>
          </rPr>
          <t xml:space="preserve"> 50, neck</t>
        </r>
        <r>
          <rPr>
            <sz val="9"/>
            <color indexed="81"/>
            <rFont val="돋움"/>
            <family val="3"/>
            <charset val="129"/>
          </rPr>
          <t>에서</t>
        </r>
        <r>
          <rPr>
            <sz val="9"/>
            <color indexed="81"/>
            <rFont val="Tahoma"/>
            <family val="2"/>
          </rPr>
          <t xml:space="preserve"> 37</t>
        </r>
      </text>
    </comment>
    <comment ref="DI5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 FP #2  ('18.5.29~ 18.6.27) </t>
        </r>
      </text>
    </comment>
    <comment ref="AO5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t>
        </r>
        <r>
          <rPr>
            <sz val="9"/>
            <color indexed="81"/>
            <rFont val="돋움"/>
            <family val="3"/>
            <charset val="129"/>
          </rPr>
          <t>는</t>
        </r>
        <r>
          <rPr>
            <sz val="9"/>
            <color indexed="81"/>
            <rFont val="Tahoma"/>
            <family val="2"/>
          </rPr>
          <t xml:space="preserve"> involvement</t>
        </r>
        <r>
          <rPr>
            <sz val="9"/>
            <color indexed="81"/>
            <rFont val="돋움"/>
            <family val="3"/>
            <charset val="129"/>
          </rPr>
          <t>가</t>
        </r>
        <r>
          <rPr>
            <sz val="9"/>
            <color indexed="81"/>
            <rFont val="Tahoma"/>
            <family val="2"/>
          </rPr>
          <t xml:space="preserve"> </t>
        </r>
        <r>
          <rPr>
            <sz val="9"/>
            <color indexed="81"/>
            <rFont val="돋움"/>
            <family val="3"/>
            <charset val="129"/>
          </rPr>
          <t>있고</t>
        </r>
        <r>
          <rPr>
            <sz val="9"/>
            <color indexed="81"/>
            <rFont val="Tahoma"/>
            <family val="2"/>
          </rPr>
          <t>, Lt</t>
        </r>
        <r>
          <rPr>
            <sz val="9"/>
            <color indexed="81"/>
            <rFont val="돋움"/>
            <family val="3"/>
            <charset val="129"/>
          </rPr>
          <t>는</t>
        </r>
        <r>
          <rPr>
            <sz val="9"/>
            <color indexed="81"/>
            <rFont val="Tahoma"/>
            <family val="2"/>
          </rPr>
          <t xml:space="preserve"> elective</t>
        </r>
      </text>
    </comment>
    <comment ref="T5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굳이</t>
        </r>
        <r>
          <rPr>
            <sz val="9"/>
            <color indexed="81"/>
            <rFont val="Tahoma"/>
            <family val="2"/>
          </rPr>
          <t xml:space="preserve"> </t>
        </r>
        <r>
          <rPr>
            <sz val="9"/>
            <color indexed="81"/>
            <rFont val="돋움"/>
            <family val="3"/>
            <charset val="129"/>
          </rPr>
          <t>따지자면</t>
        </r>
        <r>
          <rPr>
            <sz val="9"/>
            <color indexed="81"/>
            <rFont val="Tahoma"/>
            <family val="2"/>
          </rPr>
          <t xml:space="preserve"> epicenter</t>
        </r>
        <r>
          <rPr>
            <sz val="9"/>
            <color indexed="81"/>
            <rFont val="돋움"/>
            <family val="3"/>
            <charset val="129"/>
          </rPr>
          <t>은</t>
        </r>
        <r>
          <rPr>
            <sz val="9"/>
            <color indexed="81"/>
            <rFont val="Tahoma"/>
            <family val="2"/>
          </rPr>
          <t xml:space="preserve"> middle?</t>
        </r>
      </text>
    </comment>
    <comment ref="AO5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t>
        </r>
        <r>
          <rPr>
            <sz val="9"/>
            <color indexed="81"/>
            <rFont val="돋움"/>
            <family val="3"/>
            <charset val="129"/>
          </rPr>
          <t>는</t>
        </r>
        <r>
          <rPr>
            <sz val="9"/>
            <color indexed="81"/>
            <rFont val="Tahoma"/>
            <family val="2"/>
          </rPr>
          <t xml:space="preserve"> involvement</t>
        </r>
        <r>
          <rPr>
            <sz val="9"/>
            <color indexed="81"/>
            <rFont val="돋움"/>
            <family val="3"/>
            <charset val="129"/>
          </rPr>
          <t>가</t>
        </r>
        <r>
          <rPr>
            <sz val="9"/>
            <color indexed="81"/>
            <rFont val="Tahoma"/>
            <family val="2"/>
          </rPr>
          <t xml:space="preserve"> </t>
        </r>
        <r>
          <rPr>
            <sz val="9"/>
            <color indexed="81"/>
            <rFont val="돋움"/>
            <family val="3"/>
            <charset val="129"/>
          </rPr>
          <t>있고</t>
        </r>
        <r>
          <rPr>
            <sz val="9"/>
            <color indexed="81"/>
            <rFont val="Tahoma"/>
            <family val="2"/>
          </rPr>
          <t>, Lt</t>
        </r>
        <r>
          <rPr>
            <sz val="9"/>
            <color indexed="81"/>
            <rFont val="돋움"/>
            <family val="3"/>
            <charset val="129"/>
          </rPr>
          <t>는</t>
        </r>
        <r>
          <rPr>
            <sz val="9"/>
            <color indexed="81"/>
            <rFont val="Tahoma"/>
            <family val="2"/>
          </rPr>
          <t xml:space="preserve"> elective</t>
        </r>
      </text>
    </comment>
    <comment ref="DH5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14.4Gy/8fx to esophagus, 6Gy/3fx to abdomen (2015/12/10 - 12/23)</t>
        </r>
      </text>
    </comment>
    <comment ref="EV5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psoas muscle</t>
        </r>
      </text>
    </comment>
    <comment ref="EX5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SCL </t>
        </r>
        <r>
          <rPr>
            <sz val="9"/>
            <color indexed="81"/>
            <rFont val="돋움"/>
            <family val="3"/>
            <charset val="129"/>
          </rPr>
          <t>괜찮은가</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모르겠는데</t>
        </r>
        <r>
          <rPr>
            <sz val="9"/>
            <color indexed="81"/>
            <rFont val="Tahoma"/>
            <family val="2"/>
          </rPr>
          <t xml:space="preserve"> follow-up </t>
        </r>
        <r>
          <rPr>
            <sz val="9"/>
            <color indexed="81"/>
            <rFont val="돋움"/>
            <family val="3"/>
            <charset val="129"/>
          </rPr>
          <t>많이</t>
        </r>
        <r>
          <rPr>
            <sz val="9"/>
            <color indexed="81"/>
            <rFont val="Tahoma"/>
            <family val="2"/>
          </rPr>
          <t xml:space="preserve"> </t>
        </r>
        <r>
          <rPr>
            <sz val="9"/>
            <color indexed="81"/>
            <rFont val="돋움"/>
            <family val="3"/>
            <charset val="129"/>
          </rPr>
          <t>못했어서</t>
        </r>
        <r>
          <rPr>
            <sz val="9"/>
            <color indexed="81"/>
            <rFont val="Tahoma"/>
            <family val="2"/>
          </rPr>
          <t>...</t>
        </r>
      </text>
    </comment>
    <comment ref="AT6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디게</t>
        </r>
        <r>
          <rPr>
            <sz val="9"/>
            <color indexed="81"/>
            <rFont val="Tahoma"/>
            <family val="2"/>
          </rPr>
          <t xml:space="preserve"> </t>
        </r>
        <r>
          <rPr>
            <sz val="9"/>
            <color indexed="81"/>
            <rFont val="돋움"/>
            <family val="3"/>
            <charset val="129"/>
          </rPr>
          <t>애매하네</t>
        </r>
        <r>
          <rPr>
            <sz val="9"/>
            <color indexed="81"/>
            <rFont val="Tahoma"/>
            <family val="2"/>
          </rPr>
          <t>, primary GTV</t>
        </r>
        <r>
          <rPr>
            <sz val="9"/>
            <color indexed="81"/>
            <rFont val="돋움"/>
            <family val="3"/>
            <charset val="129"/>
          </rPr>
          <t>에서</t>
        </r>
        <r>
          <rPr>
            <sz val="9"/>
            <color indexed="81"/>
            <rFont val="Tahoma"/>
            <family val="2"/>
          </rPr>
          <t xml:space="preserve"> upper CTV</t>
        </r>
        <r>
          <rPr>
            <sz val="9"/>
            <color indexed="81"/>
            <rFont val="돋움"/>
            <family val="3"/>
            <charset val="129"/>
          </rPr>
          <t>까지의</t>
        </r>
        <r>
          <rPr>
            <sz val="9"/>
            <color indexed="81"/>
            <rFont val="Tahoma"/>
            <family val="2"/>
          </rPr>
          <t xml:space="preserve"> </t>
        </r>
        <r>
          <rPr>
            <sz val="9"/>
            <color indexed="81"/>
            <rFont val="돋움"/>
            <family val="3"/>
            <charset val="129"/>
          </rPr>
          <t>거리가</t>
        </r>
        <r>
          <rPr>
            <sz val="9"/>
            <color indexed="81"/>
            <rFont val="Tahoma"/>
            <family val="2"/>
          </rPr>
          <t xml:space="preserve"> 2.5cm.</t>
        </r>
      </text>
    </comment>
    <comment ref="DI6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 FP #4 ('16.4.1 ~16.6.16 ) </t>
        </r>
      </text>
    </comment>
    <comment ref="EX6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lower neck</t>
        </r>
        <r>
          <rPr>
            <sz val="9"/>
            <color indexed="81"/>
            <rFont val="돋움"/>
            <family val="3"/>
            <charset val="129"/>
          </rPr>
          <t>이라</t>
        </r>
        <r>
          <rPr>
            <sz val="9"/>
            <color indexed="81"/>
            <rFont val="Tahoma"/>
            <family val="2"/>
          </rPr>
          <t xml:space="preserve"> </t>
        </r>
        <r>
          <rPr>
            <sz val="9"/>
            <color indexed="81"/>
            <rFont val="돋움"/>
            <family val="3"/>
            <charset val="129"/>
          </rPr>
          <t>되어있는</t>
        </r>
        <r>
          <rPr>
            <sz val="9"/>
            <color indexed="81"/>
            <rFont val="Tahoma"/>
            <family val="2"/>
          </rPr>
          <t xml:space="preserve"> </t>
        </r>
        <r>
          <rPr>
            <sz val="9"/>
            <color indexed="81"/>
            <rFont val="돋움"/>
            <family val="3"/>
            <charset val="129"/>
          </rPr>
          <t>부분은</t>
        </r>
        <r>
          <rPr>
            <sz val="9"/>
            <color indexed="81"/>
            <rFont val="Tahoma"/>
            <family val="2"/>
          </rPr>
          <t xml:space="preserve"> high paraesophageal LN</t>
        </r>
        <r>
          <rPr>
            <sz val="9"/>
            <color indexed="81"/>
            <rFont val="돋움"/>
            <family val="3"/>
            <charset val="129"/>
          </rPr>
          <t>으로도</t>
        </r>
        <r>
          <rPr>
            <sz val="9"/>
            <color indexed="81"/>
            <rFont val="Tahoma"/>
            <family val="2"/>
          </rPr>
          <t xml:space="preserve"> </t>
        </r>
        <r>
          <rPr>
            <sz val="9"/>
            <color indexed="81"/>
            <rFont val="돋움"/>
            <family val="3"/>
            <charset val="129"/>
          </rPr>
          <t>보겠더라</t>
        </r>
      </text>
    </comment>
    <comment ref="AH6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lung</t>
        </r>
        <r>
          <rPr>
            <sz val="9"/>
            <color indexed="81"/>
            <rFont val="돋움"/>
            <family val="3"/>
            <charset val="129"/>
          </rPr>
          <t>에도</t>
        </r>
        <r>
          <rPr>
            <sz val="9"/>
            <color indexed="81"/>
            <rFont val="Tahoma"/>
            <family val="2"/>
          </rPr>
          <t xml:space="preserve"> meta </t>
        </r>
        <r>
          <rPr>
            <sz val="9"/>
            <color indexed="81"/>
            <rFont val="돋움"/>
            <family val="3"/>
            <charset val="129"/>
          </rPr>
          <t>의심</t>
        </r>
        <r>
          <rPr>
            <sz val="9"/>
            <color indexed="81"/>
            <rFont val="Tahoma"/>
            <family val="2"/>
          </rPr>
          <t xml:space="preserve"> </t>
        </r>
        <r>
          <rPr>
            <sz val="9"/>
            <color indexed="81"/>
            <rFont val="돋움"/>
            <family val="3"/>
            <charset val="129"/>
          </rPr>
          <t>병변이</t>
        </r>
        <r>
          <rPr>
            <sz val="9"/>
            <color indexed="81"/>
            <rFont val="Tahoma"/>
            <family val="2"/>
          </rPr>
          <t xml:space="preserve"> </t>
        </r>
        <r>
          <rPr>
            <sz val="9"/>
            <color indexed="81"/>
            <rFont val="돋움"/>
            <family val="3"/>
            <charset val="129"/>
          </rPr>
          <t>있었다</t>
        </r>
        <r>
          <rPr>
            <sz val="9"/>
            <color indexed="81"/>
            <rFont val="Tahoma"/>
            <family val="2"/>
          </rPr>
          <t xml:space="preserve">. Radical treatment </t>
        </r>
        <r>
          <rPr>
            <sz val="9"/>
            <color indexed="81"/>
            <rFont val="돋움"/>
            <family val="3"/>
            <charset val="129"/>
          </rPr>
          <t>당시에는</t>
        </r>
        <r>
          <rPr>
            <sz val="9"/>
            <color indexed="81"/>
            <rFont val="Tahoma"/>
            <family val="2"/>
          </rPr>
          <t xml:space="preserve"> </t>
        </r>
        <r>
          <rPr>
            <sz val="9"/>
            <color indexed="81"/>
            <rFont val="돋움"/>
            <family val="3"/>
            <charset val="129"/>
          </rPr>
          <t>일단</t>
        </r>
        <r>
          <rPr>
            <sz val="9"/>
            <color indexed="81"/>
            <rFont val="Tahoma"/>
            <family val="2"/>
          </rPr>
          <t xml:space="preserve"> </t>
        </r>
        <r>
          <rPr>
            <sz val="9"/>
            <color indexed="81"/>
            <rFont val="돋움"/>
            <family val="3"/>
            <charset val="129"/>
          </rPr>
          <t>지켜보자</t>
        </r>
        <r>
          <rPr>
            <sz val="9"/>
            <color indexed="81"/>
            <rFont val="Tahoma"/>
            <family val="2"/>
          </rPr>
          <t xml:space="preserve"> </t>
        </r>
        <r>
          <rPr>
            <sz val="9"/>
            <color indexed="81"/>
            <rFont val="돋움"/>
            <family val="3"/>
            <charset val="129"/>
          </rPr>
          <t>했는데</t>
        </r>
        <r>
          <rPr>
            <sz val="9"/>
            <color indexed="81"/>
            <rFont val="Tahoma"/>
            <family val="2"/>
          </rPr>
          <t xml:space="preserve">, </t>
        </r>
        <r>
          <rPr>
            <sz val="9"/>
            <color indexed="81"/>
            <rFont val="돋움"/>
            <family val="3"/>
            <charset val="129"/>
          </rPr>
          <t>나중에</t>
        </r>
        <r>
          <rPr>
            <sz val="9"/>
            <color indexed="81"/>
            <rFont val="Tahoma"/>
            <family val="2"/>
          </rPr>
          <t xml:space="preserve"> </t>
        </r>
        <r>
          <rPr>
            <sz val="9"/>
            <color indexed="81"/>
            <rFont val="돋움"/>
            <family val="3"/>
            <charset val="129"/>
          </rPr>
          <t>보니</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커져서</t>
        </r>
        <r>
          <rPr>
            <sz val="9"/>
            <color indexed="81"/>
            <rFont val="Tahoma"/>
            <family val="2"/>
          </rPr>
          <t xml:space="preserve"> meta</t>
        </r>
        <r>
          <rPr>
            <sz val="9"/>
            <color indexed="81"/>
            <rFont val="돋움"/>
            <family val="3"/>
            <charset val="129"/>
          </rPr>
          <t>인</t>
        </r>
        <r>
          <rPr>
            <sz val="9"/>
            <color indexed="81"/>
            <rFont val="Tahoma"/>
            <family val="2"/>
          </rPr>
          <t xml:space="preserve"> </t>
        </r>
        <r>
          <rPr>
            <sz val="9"/>
            <color indexed="81"/>
            <rFont val="돋움"/>
            <family val="3"/>
            <charset val="129"/>
          </rPr>
          <t>것으로</t>
        </r>
        <r>
          <rPr>
            <sz val="9"/>
            <color indexed="81"/>
            <rFont val="Tahoma"/>
            <family val="2"/>
          </rPr>
          <t xml:space="preserve"> </t>
        </r>
        <r>
          <rPr>
            <sz val="9"/>
            <color indexed="81"/>
            <rFont val="돋움"/>
            <family val="3"/>
            <charset val="129"/>
          </rPr>
          <t>봤다</t>
        </r>
        <r>
          <rPr>
            <sz val="9"/>
            <color indexed="81"/>
            <rFont val="Tahoma"/>
            <family val="2"/>
          </rPr>
          <t>.</t>
        </r>
      </text>
    </comment>
    <comment ref="CZ6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LN#Rt.4, 1/9</t>
        </r>
        <r>
          <rPr>
            <sz val="9"/>
            <color indexed="81"/>
            <rFont val="돋움"/>
            <family val="3"/>
            <charset val="129"/>
          </rPr>
          <t>라서</t>
        </r>
        <r>
          <rPr>
            <sz val="9"/>
            <color indexed="81"/>
            <rFont val="Tahoma"/>
            <family val="2"/>
          </rPr>
          <t xml:space="preserve"> M1</t>
        </r>
      </text>
    </comment>
    <comment ref="F6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조건이</t>
        </r>
        <r>
          <rPr>
            <sz val="9"/>
            <color indexed="81"/>
            <rFont val="Tahoma"/>
            <family val="2"/>
          </rPr>
          <t xml:space="preserve"> </t>
        </r>
        <r>
          <rPr>
            <sz val="9"/>
            <color indexed="81"/>
            <rFont val="돋움"/>
            <family val="3"/>
            <charset val="129"/>
          </rPr>
          <t>안맞지는</t>
        </r>
        <r>
          <rPr>
            <sz val="9"/>
            <color indexed="81"/>
            <rFont val="Tahoma"/>
            <family val="2"/>
          </rPr>
          <t xml:space="preserve"> </t>
        </r>
        <r>
          <rPr>
            <sz val="9"/>
            <color indexed="81"/>
            <rFont val="돋움"/>
            <family val="3"/>
            <charset val="129"/>
          </rPr>
          <t>않았는데</t>
        </r>
        <r>
          <rPr>
            <sz val="9"/>
            <color indexed="81"/>
            <rFont val="Tahoma"/>
            <family val="2"/>
          </rPr>
          <t xml:space="preserve"> </t>
        </r>
        <r>
          <rPr>
            <sz val="9"/>
            <color indexed="81"/>
            <rFont val="돋움"/>
            <family val="3"/>
            <charset val="129"/>
          </rPr>
          <t>병리학쪽에서</t>
        </r>
        <r>
          <rPr>
            <sz val="9"/>
            <color indexed="81"/>
            <rFont val="Tahoma"/>
            <family val="2"/>
          </rPr>
          <t xml:space="preserve"> </t>
        </r>
        <r>
          <rPr>
            <sz val="9"/>
            <color indexed="81"/>
            <rFont val="돋움"/>
            <family val="3"/>
            <charset val="129"/>
          </rPr>
          <t>결과를</t>
        </r>
        <r>
          <rPr>
            <sz val="9"/>
            <color indexed="81"/>
            <rFont val="Tahoma"/>
            <family val="2"/>
          </rPr>
          <t xml:space="preserve"> </t>
        </r>
        <r>
          <rPr>
            <sz val="9"/>
            <color indexed="81"/>
            <rFont val="돋움"/>
            <family val="3"/>
            <charset val="129"/>
          </rPr>
          <t>주지</t>
        </r>
        <r>
          <rPr>
            <sz val="9"/>
            <color indexed="81"/>
            <rFont val="Tahoma"/>
            <family val="2"/>
          </rPr>
          <t xml:space="preserve"> </t>
        </r>
        <r>
          <rPr>
            <sz val="9"/>
            <color indexed="81"/>
            <rFont val="돋움"/>
            <family val="3"/>
            <charset val="129"/>
          </rPr>
          <t>않았는데</t>
        </r>
        <r>
          <rPr>
            <sz val="9"/>
            <color indexed="81"/>
            <rFont val="Tahoma"/>
            <family val="2"/>
          </rPr>
          <t xml:space="preserve"> </t>
        </r>
        <r>
          <rPr>
            <sz val="9"/>
            <color indexed="81"/>
            <rFont val="돋움"/>
            <family val="3"/>
            <charset val="129"/>
          </rPr>
          <t>뭐가</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안되었나</t>
        </r>
        <r>
          <rPr>
            <sz val="9"/>
            <color indexed="81"/>
            <rFont val="Tahoma"/>
            <family val="2"/>
          </rPr>
          <t xml:space="preserve">... </t>
        </r>
      </text>
    </comment>
    <comment ref="P6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언급</t>
        </r>
        <r>
          <rPr>
            <sz val="9"/>
            <color indexed="81"/>
            <rFont val="Tahoma"/>
            <family val="2"/>
          </rPr>
          <t xml:space="preserve"> </t>
        </r>
        <r>
          <rPr>
            <sz val="9"/>
            <color indexed="81"/>
            <rFont val="돋움"/>
            <family val="3"/>
            <charset val="129"/>
          </rPr>
          <t>없음</t>
        </r>
      </text>
    </comment>
    <comment ref="AN6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약간</t>
        </r>
        <r>
          <rPr>
            <sz val="9"/>
            <color indexed="81"/>
            <rFont val="Tahoma"/>
            <family val="2"/>
          </rPr>
          <t xml:space="preserve"> </t>
        </r>
        <r>
          <rPr>
            <sz val="9"/>
            <color indexed="81"/>
            <rFont val="돋움"/>
            <family val="3"/>
            <charset val="129"/>
          </rPr>
          <t>애매하다</t>
        </r>
        <r>
          <rPr>
            <sz val="9"/>
            <color indexed="81"/>
            <rFont val="Tahoma"/>
            <family val="2"/>
          </rPr>
          <t xml:space="preserve">. </t>
        </r>
        <r>
          <rPr>
            <sz val="9"/>
            <color indexed="81"/>
            <rFont val="돋움"/>
            <family val="3"/>
            <charset val="129"/>
          </rPr>
          <t>위아래로</t>
        </r>
        <r>
          <rPr>
            <sz val="9"/>
            <color indexed="81"/>
            <rFont val="Tahoma"/>
            <family val="2"/>
          </rPr>
          <t xml:space="preserve"> lymph node metastasis</t>
        </r>
        <r>
          <rPr>
            <sz val="9"/>
            <color indexed="81"/>
            <rFont val="돋움"/>
            <family val="3"/>
            <charset val="129"/>
          </rPr>
          <t>가</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있기</t>
        </r>
        <r>
          <rPr>
            <sz val="9"/>
            <color indexed="81"/>
            <rFont val="Tahoma"/>
            <family val="2"/>
          </rPr>
          <t xml:space="preserve"> </t>
        </r>
        <r>
          <rPr>
            <sz val="9"/>
            <color indexed="81"/>
            <rFont val="돋움"/>
            <family val="3"/>
            <charset val="129"/>
          </rPr>
          <t>때문이다</t>
        </r>
        <r>
          <rPr>
            <sz val="9"/>
            <color indexed="81"/>
            <rFont val="Tahoma"/>
            <family val="2"/>
          </rPr>
          <t>.</t>
        </r>
      </text>
    </comment>
    <comment ref="AU6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inf 4</t>
        </r>
        <r>
          <rPr>
            <sz val="9"/>
            <color indexed="81"/>
            <rFont val="돋움"/>
            <family val="3"/>
            <charset val="129"/>
          </rPr>
          <t>인가</t>
        </r>
        <r>
          <rPr>
            <sz val="9"/>
            <color indexed="81"/>
            <rFont val="Tahoma"/>
            <family val="2"/>
          </rPr>
          <t xml:space="preserve">… </t>
        </r>
        <r>
          <rPr>
            <sz val="9"/>
            <color indexed="81"/>
            <rFont val="돋움"/>
            <family val="3"/>
            <charset val="129"/>
          </rPr>
          <t>명시도</t>
        </r>
        <r>
          <rPr>
            <sz val="9"/>
            <color indexed="81"/>
            <rFont val="Tahoma"/>
            <family val="2"/>
          </rPr>
          <t xml:space="preserve"> </t>
        </r>
        <r>
          <rPr>
            <sz val="9"/>
            <color indexed="81"/>
            <rFont val="돋움"/>
            <family val="3"/>
            <charset val="129"/>
          </rPr>
          <t>안되어있고</t>
        </r>
        <r>
          <rPr>
            <sz val="9"/>
            <color indexed="81"/>
            <rFont val="Tahoma"/>
            <family val="2"/>
          </rPr>
          <t xml:space="preserve"> elective field </t>
        </r>
        <r>
          <rPr>
            <sz val="9"/>
            <color indexed="81"/>
            <rFont val="돋움"/>
            <family val="3"/>
            <charset val="129"/>
          </rPr>
          <t>때문에</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모르겠다</t>
        </r>
        <r>
          <rPr>
            <sz val="9"/>
            <color indexed="81"/>
            <rFont val="Tahoma"/>
            <family val="2"/>
          </rPr>
          <t>.</t>
        </r>
      </text>
    </comment>
    <comment ref="BU6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Seizure</t>
        </r>
        <r>
          <rPr>
            <sz val="9"/>
            <color indexed="81"/>
            <rFont val="돋움"/>
            <family val="3"/>
            <charset val="129"/>
          </rPr>
          <t>로</t>
        </r>
        <r>
          <rPr>
            <sz val="9"/>
            <color indexed="81"/>
            <rFont val="Tahoma"/>
            <family val="2"/>
          </rPr>
          <t xml:space="preserve"> hold</t>
        </r>
      </text>
    </comment>
    <comment ref="CY6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누락</t>
        </r>
        <r>
          <rPr>
            <sz val="9"/>
            <color indexed="81"/>
            <rFont val="Tahoma"/>
            <family val="2"/>
          </rPr>
          <t xml:space="preserve">. </t>
        </r>
        <r>
          <rPr>
            <sz val="9"/>
            <color indexed="81"/>
            <rFont val="돋움"/>
            <family val="3"/>
            <charset val="129"/>
          </rPr>
          <t>일단</t>
        </r>
        <r>
          <rPr>
            <sz val="9"/>
            <color indexed="81"/>
            <rFont val="Tahoma"/>
            <family val="2"/>
          </rPr>
          <t xml:space="preserve"> margin negative</t>
        </r>
        <r>
          <rPr>
            <sz val="9"/>
            <color indexed="81"/>
            <rFont val="돋움"/>
            <family val="3"/>
            <charset val="129"/>
          </rPr>
          <t>는</t>
        </r>
        <r>
          <rPr>
            <sz val="9"/>
            <color indexed="81"/>
            <rFont val="Tahoma"/>
            <family val="2"/>
          </rPr>
          <t xml:space="preserve"> </t>
        </r>
        <r>
          <rPr>
            <sz val="9"/>
            <color indexed="81"/>
            <rFont val="돋움"/>
            <family val="3"/>
            <charset val="129"/>
          </rPr>
          <t>맞다</t>
        </r>
        <r>
          <rPr>
            <sz val="9"/>
            <color indexed="81"/>
            <rFont val="Tahoma"/>
            <family val="2"/>
          </rPr>
          <t>.</t>
        </r>
      </text>
    </comment>
    <comment ref="FU6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2020/11 </t>
        </r>
        <r>
          <rPr>
            <sz val="9"/>
            <color indexed="81"/>
            <rFont val="돋움"/>
            <family val="3"/>
            <charset val="129"/>
          </rPr>
          <t>흉부외과</t>
        </r>
        <r>
          <rPr>
            <sz val="9"/>
            <color indexed="81"/>
            <rFont val="Tahoma"/>
            <family val="2"/>
          </rPr>
          <t xml:space="preserve"> </t>
        </r>
        <r>
          <rPr>
            <sz val="9"/>
            <color indexed="81"/>
            <rFont val="돋움"/>
            <family val="3"/>
            <charset val="129"/>
          </rPr>
          <t>외래에서</t>
        </r>
        <r>
          <rPr>
            <sz val="9"/>
            <color indexed="81"/>
            <rFont val="Tahoma"/>
            <family val="2"/>
          </rPr>
          <t xml:space="preserve"> </t>
        </r>
        <r>
          <rPr>
            <sz val="9"/>
            <color indexed="81"/>
            <rFont val="돋움"/>
            <family val="3"/>
            <charset val="129"/>
          </rPr>
          <t>음식이</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넘어가지</t>
        </r>
        <r>
          <rPr>
            <sz val="9"/>
            <color indexed="81"/>
            <rFont val="Tahoma"/>
            <family val="2"/>
          </rPr>
          <t xml:space="preserve"> </t>
        </r>
        <r>
          <rPr>
            <sz val="9"/>
            <color indexed="81"/>
            <rFont val="돋움"/>
            <family val="3"/>
            <charset val="129"/>
          </rPr>
          <t>않는다고</t>
        </r>
        <r>
          <rPr>
            <sz val="9"/>
            <color indexed="81"/>
            <rFont val="Tahoma"/>
            <family val="2"/>
          </rPr>
          <t xml:space="preserve"> </t>
        </r>
        <r>
          <rPr>
            <sz val="9"/>
            <color indexed="81"/>
            <rFont val="돋움"/>
            <family val="3"/>
            <charset val="129"/>
          </rPr>
          <t>호소한</t>
        </r>
        <r>
          <rPr>
            <sz val="9"/>
            <color indexed="81"/>
            <rFont val="Tahoma"/>
            <family val="2"/>
          </rPr>
          <t xml:space="preserve"> </t>
        </r>
        <r>
          <rPr>
            <sz val="9"/>
            <color indexed="81"/>
            <rFont val="돋움"/>
            <family val="3"/>
            <charset val="129"/>
          </rPr>
          <t>바</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이에</t>
        </r>
        <r>
          <rPr>
            <sz val="9"/>
            <color indexed="81"/>
            <rFont val="Tahoma"/>
            <family val="2"/>
          </rPr>
          <t xml:space="preserve"> </t>
        </r>
        <r>
          <rPr>
            <sz val="9"/>
            <color indexed="81"/>
            <rFont val="돋움"/>
            <family val="3"/>
            <charset val="129"/>
          </rPr>
          <t>대해서</t>
        </r>
        <r>
          <rPr>
            <sz val="9"/>
            <color indexed="81"/>
            <rFont val="Tahoma"/>
            <family val="2"/>
          </rPr>
          <t xml:space="preserve"> r/o anastomosis stricture</t>
        </r>
        <r>
          <rPr>
            <sz val="9"/>
            <color indexed="81"/>
            <rFont val="돋움"/>
            <family val="3"/>
            <charset val="129"/>
          </rPr>
          <t>을</t>
        </r>
        <r>
          <rPr>
            <sz val="9"/>
            <color indexed="81"/>
            <rFont val="Tahoma"/>
            <family val="2"/>
          </rPr>
          <t xml:space="preserve"> </t>
        </r>
        <r>
          <rPr>
            <sz val="9"/>
            <color indexed="81"/>
            <rFont val="돋움"/>
            <family val="3"/>
            <charset val="129"/>
          </rPr>
          <t>내놓은</t>
        </r>
        <r>
          <rPr>
            <sz val="9"/>
            <color indexed="81"/>
            <rFont val="Tahoma"/>
            <family val="2"/>
          </rPr>
          <t xml:space="preserve"> </t>
        </r>
        <r>
          <rPr>
            <sz val="9"/>
            <color indexed="81"/>
            <rFont val="돋움"/>
            <family val="3"/>
            <charset val="129"/>
          </rPr>
          <t>바</t>
        </r>
        <r>
          <rPr>
            <sz val="9"/>
            <color indexed="81"/>
            <rFont val="Tahoma"/>
            <family val="2"/>
          </rPr>
          <t xml:space="preserve"> </t>
        </r>
        <r>
          <rPr>
            <sz val="9"/>
            <color indexed="81"/>
            <rFont val="돋움"/>
            <family val="3"/>
            <charset val="129"/>
          </rPr>
          <t>있으나</t>
        </r>
        <r>
          <rPr>
            <sz val="9"/>
            <color indexed="81"/>
            <rFont val="Tahoma"/>
            <family val="2"/>
          </rPr>
          <t xml:space="preserve">, </t>
        </r>
        <r>
          <rPr>
            <sz val="9"/>
            <color indexed="81"/>
            <rFont val="돋움"/>
            <family val="3"/>
            <charset val="129"/>
          </rPr>
          <t>검사를</t>
        </r>
        <r>
          <rPr>
            <sz val="9"/>
            <color indexed="81"/>
            <rFont val="Tahoma"/>
            <family val="2"/>
          </rPr>
          <t xml:space="preserve"> </t>
        </r>
        <r>
          <rPr>
            <sz val="9"/>
            <color indexed="81"/>
            <rFont val="돋움"/>
            <family val="3"/>
            <charset val="129"/>
          </rPr>
          <t>통해서</t>
        </r>
        <r>
          <rPr>
            <sz val="9"/>
            <color indexed="81"/>
            <rFont val="Tahoma"/>
            <family val="2"/>
          </rPr>
          <t xml:space="preserve"> </t>
        </r>
        <r>
          <rPr>
            <sz val="9"/>
            <color indexed="81"/>
            <rFont val="돋움"/>
            <family val="3"/>
            <charset val="129"/>
          </rPr>
          <t>증명되지</t>
        </r>
        <r>
          <rPr>
            <sz val="9"/>
            <color indexed="81"/>
            <rFont val="Tahoma"/>
            <family val="2"/>
          </rPr>
          <t xml:space="preserve"> </t>
        </r>
        <r>
          <rPr>
            <sz val="9"/>
            <color indexed="81"/>
            <rFont val="돋움"/>
            <family val="3"/>
            <charset val="129"/>
          </rPr>
          <t>않음</t>
        </r>
        <r>
          <rPr>
            <sz val="9"/>
            <color indexed="81"/>
            <rFont val="Tahoma"/>
            <family val="2"/>
          </rPr>
          <t>.</t>
        </r>
      </text>
    </comment>
    <comment ref="AD6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PET</t>
        </r>
        <r>
          <rPr>
            <sz val="9"/>
            <color indexed="81"/>
            <rFont val="돋움"/>
            <family val="3"/>
            <charset val="129"/>
          </rPr>
          <t>에서는</t>
        </r>
        <r>
          <rPr>
            <sz val="9"/>
            <color indexed="81"/>
            <rFont val="Tahoma"/>
            <family val="2"/>
          </rPr>
          <t xml:space="preserve"> reactive </t>
        </r>
        <r>
          <rPr>
            <sz val="9"/>
            <color indexed="81"/>
            <rFont val="돋움"/>
            <family val="3"/>
            <charset val="129"/>
          </rPr>
          <t>같다고</t>
        </r>
        <r>
          <rPr>
            <sz val="9"/>
            <color indexed="81"/>
            <rFont val="Tahoma"/>
            <family val="2"/>
          </rPr>
          <t xml:space="preserve"> </t>
        </r>
        <r>
          <rPr>
            <sz val="9"/>
            <color indexed="81"/>
            <rFont val="돋움"/>
            <family val="3"/>
            <charset val="129"/>
          </rPr>
          <t>했는데</t>
        </r>
        <r>
          <rPr>
            <sz val="9"/>
            <color indexed="81"/>
            <rFont val="Tahoma"/>
            <family val="2"/>
          </rPr>
          <t xml:space="preserve"> </t>
        </r>
        <r>
          <rPr>
            <sz val="9"/>
            <color indexed="81"/>
            <rFont val="돋움"/>
            <family val="3"/>
            <charset val="129"/>
          </rPr>
          <t>걍</t>
        </r>
        <r>
          <rPr>
            <sz val="9"/>
            <color indexed="81"/>
            <rFont val="Tahoma"/>
            <family val="2"/>
          </rPr>
          <t xml:space="preserve"> </t>
        </r>
        <r>
          <rPr>
            <sz val="9"/>
            <color indexed="81"/>
            <rFont val="돋움"/>
            <family val="3"/>
            <charset val="129"/>
          </rPr>
          <t>치료를</t>
        </r>
        <r>
          <rPr>
            <sz val="9"/>
            <color indexed="81"/>
            <rFont val="Tahoma"/>
            <family val="2"/>
          </rPr>
          <t xml:space="preserve"> </t>
        </r>
        <r>
          <rPr>
            <sz val="9"/>
            <color indexed="81"/>
            <rFont val="돋움"/>
            <family val="3"/>
            <charset val="129"/>
          </rPr>
          <t>했더라</t>
        </r>
      </text>
    </comment>
    <comment ref="CK68"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t>
        </r>
        <r>
          <rPr>
            <sz val="9"/>
            <color rgb="FF000000"/>
            <rFont val="Tahoma"/>
            <family val="2"/>
          </rPr>
          <t xml:space="preserve">
</t>
        </r>
        <r>
          <rPr>
            <sz val="9"/>
            <color rgb="FF000000"/>
            <rFont val="Tahoma"/>
            <family val="2"/>
          </rPr>
          <t>lower thoracic</t>
        </r>
        <r>
          <rPr>
            <sz val="9"/>
            <color rgb="FF000000"/>
            <rFont val="돋움"/>
            <family val="2"/>
            <charset val="129"/>
          </rPr>
          <t>에서</t>
        </r>
        <r>
          <rPr>
            <sz val="9"/>
            <color rgb="FF000000"/>
            <rFont val="Tahoma"/>
            <family val="2"/>
          </rPr>
          <t xml:space="preserve"> </t>
        </r>
        <r>
          <rPr>
            <sz val="9"/>
            <color rgb="FF000000"/>
            <rFont val="돋움"/>
            <family val="2"/>
            <charset val="129"/>
          </rPr>
          <t>알지</t>
        </r>
        <r>
          <rPr>
            <sz val="9"/>
            <color rgb="FF000000"/>
            <rFont val="Tahoma"/>
            <family val="2"/>
          </rPr>
          <t xml:space="preserve"> </t>
        </r>
        <r>
          <rPr>
            <sz val="9"/>
            <color rgb="FF000000"/>
            <rFont val="돋움"/>
            <family val="2"/>
            <charset val="129"/>
          </rPr>
          <t>못했던</t>
        </r>
        <r>
          <rPr>
            <sz val="9"/>
            <color rgb="FF000000"/>
            <rFont val="Tahoma"/>
            <family val="2"/>
          </rPr>
          <t xml:space="preserve"> tumor</t>
        </r>
        <r>
          <rPr>
            <sz val="9"/>
            <color rgb="FF000000"/>
            <rFont val="돋움"/>
            <family val="2"/>
            <charset val="129"/>
          </rPr>
          <t>이</t>
        </r>
        <r>
          <rPr>
            <sz val="9"/>
            <color rgb="FF000000"/>
            <rFont val="Tahoma"/>
            <family val="2"/>
          </rPr>
          <t xml:space="preserve"> </t>
        </r>
        <r>
          <rPr>
            <sz val="9"/>
            <color rgb="FF000000"/>
            <rFont val="돋움"/>
            <family val="2"/>
            <charset val="129"/>
          </rPr>
          <t>하나</t>
        </r>
        <r>
          <rPr>
            <sz val="9"/>
            <color rgb="FF000000"/>
            <rFont val="Tahoma"/>
            <family val="2"/>
          </rPr>
          <t xml:space="preserve"> </t>
        </r>
        <r>
          <rPr>
            <sz val="9"/>
            <color rgb="FF000000"/>
            <rFont val="돋움"/>
            <family val="2"/>
            <charset val="129"/>
          </rPr>
          <t>더</t>
        </r>
        <r>
          <rPr>
            <sz val="9"/>
            <color rgb="FF000000"/>
            <rFont val="Tahoma"/>
            <family val="2"/>
          </rPr>
          <t xml:space="preserve"> </t>
        </r>
        <r>
          <rPr>
            <sz val="9"/>
            <color rgb="FF000000"/>
            <rFont val="돋움"/>
            <family val="2"/>
            <charset val="129"/>
          </rPr>
          <t>나왔다</t>
        </r>
        <r>
          <rPr>
            <sz val="9"/>
            <color rgb="FF000000"/>
            <rFont val="Tahoma"/>
            <family val="2"/>
          </rPr>
          <t>.</t>
        </r>
      </text>
    </comment>
    <comment ref="CO68"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t>
        </r>
        <r>
          <rPr>
            <sz val="9"/>
            <color rgb="FF000000"/>
            <rFont val="Tahoma"/>
            <family val="2"/>
          </rPr>
          <t xml:space="preserve">
</t>
        </r>
        <r>
          <rPr>
            <sz val="9"/>
            <color rgb="FF000000"/>
            <rFont val="Tahoma"/>
            <family val="2"/>
          </rPr>
          <t>CCRT</t>
        </r>
        <r>
          <rPr>
            <sz val="9"/>
            <color rgb="FF000000"/>
            <rFont val="돋움"/>
            <family val="2"/>
            <charset val="129"/>
          </rPr>
          <t>를</t>
        </r>
        <r>
          <rPr>
            <sz val="9"/>
            <color rgb="FF000000"/>
            <rFont val="Tahoma"/>
            <family val="2"/>
          </rPr>
          <t xml:space="preserve"> </t>
        </r>
        <r>
          <rPr>
            <sz val="9"/>
            <color rgb="FF000000"/>
            <rFont val="돋움"/>
            <family val="2"/>
            <charset val="129"/>
          </rPr>
          <t>받은</t>
        </r>
        <r>
          <rPr>
            <sz val="9"/>
            <color rgb="FF000000"/>
            <rFont val="Tahoma"/>
            <family val="2"/>
          </rPr>
          <t xml:space="preserve"> </t>
        </r>
        <r>
          <rPr>
            <sz val="9"/>
            <color rgb="FF000000"/>
            <rFont val="돋움"/>
            <family val="2"/>
            <charset val="129"/>
          </rPr>
          <t>부위는</t>
        </r>
        <r>
          <rPr>
            <sz val="9"/>
            <color rgb="FF000000"/>
            <rFont val="Tahoma"/>
            <family val="2"/>
          </rPr>
          <t xml:space="preserve"> </t>
        </r>
        <r>
          <rPr>
            <sz val="9"/>
            <color rgb="FF000000"/>
            <rFont val="돋움"/>
            <family val="2"/>
            <charset val="129"/>
          </rPr>
          <t>그러하다</t>
        </r>
        <r>
          <rPr>
            <sz val="9"/>
            <color rgb="FF000000"/>
            <rFont val="Tahoma"/>
            <family val="2"/>
          </rPr>
          <t xml:space="preserve"> separate tumor</t>
        </r>
        <r>
          <rPr>
            <sz val="9"/>
            <color rgb="FF000000"/>
            <rFont val="돋움"/>
            <family val="2"/>
            <charset val="129"/>
          </rPr>
          <t>이</t>
        </r>
        <r>
          <rPr>
            <sz val="9"/>
            <color rgb="FF000000"/>
            <rFont val="Tahoma"/>
            <family val="2"/>
          </rPr>
          <t xml:space="preserve"> </t>
        </r>
        <r>
          <rPr>
            <sz val="9"/>
            <color rgb="FF000000"/>
            <rFont val="돋움"/>
            <family val="2"/>
            <charset val="129"/>
          </rPr>
          <t>발견된</t>
        </r>
        <r>
          <rPr>
            <sz val="9"/>
            <color rgb="FF000000"/>
            <rFont val="Tahoma"/>
            <family val="2"/>
          </rPr>
          <t xml:space="preserve"> </t>
        </r>
        <r>
          <rPr>
            <sz val="9"/>
            <color rgb="FF000000"/>
            <rFont val="돋움"/>
            <family val="2"/>
            <charset val="129"/>
          </rPr>
          <t>부위가</t>
        </r>
        <r>
          <rPr>
            <sz val="9"/>
            <color rgb="FF000000"/>
            <rFont val="Tahoma"/>
            <family val="2"/>
          </rPr>
          <t xml:space="preserve"> </t>
        </r>
        <r>
          <rPr>
            <sz val="9"/>
            <color rgb="FF000000"/>
            <rFont val="돋움"/>
            <family val="2"/>
            <charset val="129"/>
          </rPr>
          <t>있다는</t>
        </r>
        <r>
          <rPr>
            <sz val="9"/>
            <color rgb="FF000000"/>
            <rFont val="Tahoma"/>
            <family val="2"/>
          </rPr>
          <t xml:space="preserve"> </t>
        </r>
        <r>
          <rPr>
            <sz val="9"/>
            <color rgb="FF000000"/>
            <rFont val="돋움"/>
            <family val="2"/>
            <charset val="129"/>
          </rPr>
          <t>점에</t>
        </r>
        <r>
          <rPr>
            <sz val="9"/>
            <color rgb="FF000000"/>
            <rFont val="Tahoma"/>
            <family val="2"/>
          </rPr>
          <t xml:space="preserve"> </t>
        </r>
        <r>
          <rPr>
            <sz val="9"/>
            <color rgb="FF000000"/>
            <rFont val="돋움"/>
            <family val="2"/>
            <charset val="129"/>
          </rPr>
          <t>유의</t>
        </r>
        <r>
          <rPr>
            <sz val="9"/>
            <color rgb="FF000000"/>
            <rFont val="Tahoma"/>
            <family val="2"/>
          </rPr>
          <t>.</t>
        </r>
      </text>
    </comment>
    <comment ref="CZ68" authorId="0" shapeId="0">
      <text>
        <r>
          <rPr>
            <b/>
            <sz val="9"/>
            <color rgb="FF000000"/>
            <rFont val="Tahoma"/>
            <family val="2"/>
          </rPr>
          <t xml:space="preserve">Windows </t>
        </r>
        <r>
          <rPr>
            <b/>
            <sz val="9"/>
            <color rgb="FF000000"/>
            <rFont val="돋움"/>
            <family val="2"/>
            <charset val="129"/>
          </rPr>
          <t>사용자</t>
        </r>
        <r>
          <rPr>
            <b/>
            <sz val="9"/>
            <color rgb="FF000000"/>
            <rFont val="Tahoma"/>
            <family val="2"/>
          </rPr>
          <t>:</t>
        </r>
        <r>
          <rPr>
            <sz val="9"/>
            <color rgb="FF000000"/>
            <rFont val="Tahoma"/>
            <family val="2"/>
          </rPr>
          <t xml:space="preserve">
</t>
        </r>
        <r>
          <rPr>
            <sz val="9"/>
            <color rgb="FF000000"/>
            <rFont val="Tahoma"/>
            <family val="2"/>
          </rPr>
          <t xml:space="preserve">neck LN </t>
        </r>
        <r>
          <rPr>
            <sz val="9"/>
            <color rgb="FF000000"/>
            <rFont val="돋움"/>
            <family val="2"/>
            <charset val="129"/>
          </rPr>
          <t>포함</t>
        </r>
      </text>
    </comment>
    <comment ref="AZ6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 0.7-1.0
LN: 0.7</t>
        </r>
      </text>
    </comment>
    <comment ref="AF7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SCL</t>
        </r>
      </text>
    </comment>
    <comment ref="AU7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 4cm, inf 2cm</t>
        </r>
      </text>
    </comment>
    <comment ref="BU7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Neutropenia</t>
        </r>
        <r>
          <rPr>
            <sz val="9"/>
            <color indexed="81"/>
            <rFont val="돋움"/>
            <family val="3"/>
            <charset val="129"/>
          </rPr>
          <t>로</t>
        </r>
        <r>
          <rPr>
            <sz val="9"/>
            <color indexed="81"/>
            <rFont val="Tahoma"/>
            <family val="2"/>
          </rPr>
          <t xml:space="preserve"> 1 cycle </t>
        </r>
        <r>
          <rPr>
            <sz val="9"/>
            <color indexed="81"/>
            <rFont val="돋움"/>
            <family val="3"/>
            <charset val="129"/>
          </rPr>
          <t>빠졌다</t>
        </r>
        <r>
          <rPr>
            <sz val="9"/>
            <color indexed="81"/>
            <rFont val="Tahoma"/>
            <family val="2"/>
          </rPr>
          <t>.</t>
        </r>
      </text>
    </comment>
    <comment ref="P7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bx </t>
        </r>
        <r>
          <rPr>
            <sz val="9"/>
            <color indexed="81"/>
            <rFont val="돋움"/>
            <family val="3"/>
            <charset val="129"/>
          </rPr>
          <t>검체에는</t>
        </r>
        <r>
          <rPr>
            <sz val="9"/>
            <color indexed="81"/>
            <rFont val="Tahoma"/>
            <family val="2"/>
          </rPr>
          <t xml:space="preserve"> </t>
        </r>
        <r>
          <rPr>
            <sz val="9"/>
            <color indexed="81"/>
            <rFont val="돋움"/>
            <family val="3"/>
            <charset val="129"/>
          </rPr>
          <t>언급이</t>
        </r>
        <r>
          <rPr>
            <sz val="9"/>
            <color indexed="81"/>
            <rFont val="Tahoma"/>
            <family val="2"/>
          </rPr>
          <t xml:space="preserve"> </t>
        </r>
        <r>
          <rPr>
            <sz val="9"/>
            <color indexed="81"/>
            <rFont val="돋움"/>
            <family val="3"/>
            <charset val="129"/>
          </rPr>
          <t>없다</t>
        </r>
        <r>
          <rPr>
            <sz val="9"/>
            <color indexed="81"/>
            <rFont val="Tahoma"/>
            <family val="2"/>
          </rPr>
          <t>.</t>
        </r>
      </text>
    </comment>
    <comment ref="BE7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PTV</t>
        </r>
        <r>
          <rPr>
            <sz val="9"/>
            <color indexed="81"/>
            <rFont val="돋움"/>
            <family val="3"/>
            <charset val="129"/>
          </rPr>
          <t>가</t>
        </r>
        <r>
          <rPr>
            <sz val="9"/>
            <color indexed="81"/>
            <rFont val="Tahoma"/>
            <family val="2"/>
          </rPr>
          <t xml:space="preserve"> </t>
        </r>
        <r>
          <rPr>
            <sz val="9"/>
            <color indexed="81"/>
            <rFont val="돋움"/>
            <family val="3"/>
            <charset val="129"/>
          </rPr>
          <t>설정되어</t>
        </r>
        <r>
          <rPr>
            <sz val="9"/>
            <color indexed="81"/>
            <rFont val="Tahoma"/>
            <family val="2"/>
          </rPr>
          <t xml:space="preserve"> </t>
        </r>
        <r>
          <rPr>
            <sz val="9"/>
            <color indexed="81"/>
            <rFont val="돋움"/>
            <family val="3"/>
            <charset val="129"/>
          </rPr>
          <t>있지</t>
        </r>
        <r>
          <rPr>
            <sz val="9"/>
            <color indexed="81"/>
            <rFont val="Tahoma"/>
            <family val="2"/>
          </rPr>
          <t xml:space="preserve"> </t>
        </r>
        <r>
          <rPr>
            <sz val="9"/>
            <color indexed="81"/>
            <rFont val="돋움"/>
            <family val="3"/>
            <charset val="129"/>
          </rPr>
          <t>않다</t>
        </r>
        <r>
          <rPr>
            <sz val="9"/>
            <color indexed="81"/>
            <rFont val="Tahoma"/>
            <family val="2"/>
          </rPr>
          <t>.</t>
        </r>
      </text>
    </comment>
    <comment ref="T7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딱</t>
        </r>
        <r>
          <rPr>
            <sz val="9"/>
            <color indexed="81"/>
            <rFont val="Tahoma"/>
            <family val="2"/>
          </rPr>
          <t xml:space="preserve"> azygos vein level</t>
        </r>
        <r>
          <rPr>
            <sz val="9"/>
            <color indexed="81"/>
            <rFont val="돋움"/>
            <family val="3"/>
            <charset val="129"/>
          </rPr>
          <t>이긴</t>
        </r>
        <r>
          <rPr>
            <sz val="9"/>
            <color indexed="81"/>
            <rFont val="Tahoma"/>
            <family val="2"/>
          </rPr>
          <t xml:space="preserve"> </t>
        </r>
        <r>
          <rPr>
            <sz val="9"/>
            <color indexed="81"/>
            <rFont val="돋움"/>
            <family val="3"/>
            <charset val="129"/>
          </rPr>
          <t>하다</t>
        </r>
        <r>
          <rPr>
            <sz val="9"/>
            <color indexed="81"/>
            <rFont val="Tahoma"/>
            <family val="2"/>
          </rPr>
          <t>.</t>
        </r>
      </text>
    </comment>
    <comment ref="FU7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ballooon dilatation x5 (2018/1/4, 2018/1/23, 2018/3/27, 2018/5/24, 2019/1/9)</t>
        </r>
      </text>
    </comment>
    <comment ref="CC73" authorId="1" shapeId="0">
      <text>
        <r>
          <rPr>
            <b/>
            <sz val="9"/>
            <color indexed="81"/>
            <rFont val="Tahoma"/>
            <family val="2"/>
          </rPr>
          <t>SNUH:</t>
        </r>
        <r>
          <rPr>
            <sz val="9"/>
            <color indexed="81"/>
            <rFont val="Tahoma"/>
            <family val="2"/>
          </rPr>
          <t xml:space="preserve">
PET</t>
        </r>
        <r>
          <rPr>
            <sz val="9"/>
            <color indexed="81"/>
            <rFont val="돋움"/>
            <family val="3"/>
            <charset val="129"/>
          </rPr>
          <t>을</t>
        </r>
        <r>
          <rPr>
            <sz val="9"/>
            <color indexed="81"/>
            <rFont val="Tahoma"/>
            <family val="2"/>
          </rPr>
          <t xml:space="preserve"> </t>
        </r>
        <r>
          <rPr>
            <sz val="9"/>
            <color indexed="81"/>
            <rFont val="돋움"/>
            <family val="3"/>
            <charset val="129"/>
          </rPr>
          <t>안찍었다</t>
        </r>
        <r>
          <rPr>
            <sz val="9"/>
            <color indexed="81"/>
            <rFont val="Tahoma"/>
            <family val="2"/>
          </rPr>
          <t>.</t>
        </r>
      </text>
    </comment>
    <comment ref="CJ73" authorId="0" shapeId="0">
      <text>
        <r>
          <rPr>
            <sz val="11"/>
            <color theme="1"/>
            <rFont val="맑은 고딕"/>
            <family val="2"/>
            <charset val="129"/>
            <scheme val="minor"/>
          </rPr>
          <t>Windows 사용자:
Mediastinal LN dissection밖에 안한 것 같은데?</t>
        </r>
      </text>
    </comment>
    <comment ref="FU7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2007/6/20 Balloon dilatation</t>
        </r>
      </text>
    </comment>
    <comment ref="BW78" authorId="1" shapeId="0">
      <text>
        <r>
          <rPr>
            <b/>
            <sz val="9"/>
            <color indexed="81"/>
            <rFont val="Tahoma"/>
            <family val="2"/>
          </rPr>
          <t>SNUH:</t>
        </r>
        <r>
          <rPr>
            <sz val="9"/>
            <color indexed="81"/>
            <rFont val="Tahoma"/>
            <family val="2"/>
          </rPr>
          <t xml:space="preserve">
</t>
        </r>
        <r>
          <rPr>
            <sz val="9"/>
            <color indexed="81"/>
            <rFont val="돋움"/>
            <family val="3"/>
            <charset val="129"/>
          </rPr>
          <t>참고로</t>
        </r>
        <r>
          <rPr>
            <sz val="9"/>
            <color indexed="81"/>
            <rFont val="Tahoma"/>
            <family val="2"/>
          </rPr>
          <t xml:space="preserve"> </t>
        </r>
        <r>
          <rPr>
            <sz val="9"/>
            <color indexed="81"/>
            <rFont val="돋움"/>
            <family val="3"/>
            <charset val="129"/>
          </rPr>
          <t>타원</t>
        </r>
        <r>
          <rPr>
            <sz val="9"/>
            <color indexed="81"/>
            <rFont val="Tahoma"/>
            <family val="2"/>
          </rPr>
          <t xml:space="preserve"> </t>
        </r>
        <r>
          <rPr>
            <sz val="9"/>
            <color indexed="81"/>
            <rFont val="돋움"/>
            <family val="3"/>
            <charset val="129"/>
          </rPr>
          <t>검사임</t>
        </r>
      </text>
    </comment>
    <comment ref="CD78" authorId="1" shapeId="0">
      <text>
        <r>
          <rPr>
            <b/>
            <sz val="9"/>
            <color indexed="81"/>
            <rFont val="Tahoma"/>
            <family val="2"/>
          </rPr>
          <t>SNUH:</t>
        </r>
        <r>
          <rPr>
            <sz val="9"/>
            <color indexed="81"/>
            <rFont val="Tahoma"/>
            <family val="2"/>
          </rPr>
          <t xml:space="preserve">
"distal esophagus area </t>
        </r>
        <r>
          <rPr>
            <sz val="9"/>
            <color indexed="81"/>
            <rFont val="돋움"/>
            <family val="3"/>
            <charset val="129"/>
          </rPr>
          <t>에서</t>
        </r>
        <r>
          <rPr>
            <sz val="9"/>
            <color indexed="81"/>
            <rFont val="Tahoma"/>
            <family val="2"/>
          </rPr>
          <t xml:space="preserve"> </t>
        </r>
        <r>
          <rPr>
            <sz val="9"/>
            <color indexed="81"/>
            <rFont val="돋움"/>
            <family val="3"/>
            <charset val="129"/>
          </rPr>
          <t>관찰되던</t>
        </r>
        <r>
          <rPr>
            <sz val="9"/>
            <color indexed="81"/>
            <rFont val="Tahoma"/>
            <family val="2"/>
          </rPr>
          <t xml:space="preserve"> primary cancer </t>
        </r>
        <r>
          <rPr>
            <sz val="9"/>
            <color indexed="81"/>
            <rFont val="돋움"/>
            <family val="3"/>
            <charset val="129"/>
          </rPr>
          <t>는</t>
        </r>
        <r>
          <rPr>
            <sz val="9"/>
            <color indexed="81"/>
            <rFont val="Tahoma"/>
            <family val="2"/>
          </rPr>
          <t xml:space="preserve"> metabolism </t>
        </r>
        <r>
          <rPr>
            <sz val="9"/>
            <color indexed="81"/>
            <rFont val="돋움"/>
            <family val="3"/>
            <charset val="129"/>
          </rPr>
          <t>이</t>
        </r>
        <r>
          <rPr>
            <sz val="9"/>
            <color indexed="81"/>
            <rFont val="Tahoma"/>
            <family val="2"/>
          </rPr>
          <t xml:space="preserve"> </t>
        </r>
        <r>
          <rPr>
            <sz val="9"/>
            <color indexed="81"/>
            <rFont val="돋움"/>
            <family val="3"/>
            <charset val="129"/>
          </rPr>
          <t>감소되었으나</t>
        </r>
        <r>
          <rPr>
            <sz val="9"/>
            <color indexed="81"/>
            <rFont val="Tahoma"/>
            <family val="2"/>
          </rPr>
          <t xml:space="preserve"> </t>
        </r>
        <r>
          <rPr>
            <sz val="9"/>
            <color indexed="81"/>
            <rFont val="돋움"/>
            <family val="3"/>
            <charset val="129"/>
          </rPr>
          <t>이전과</t>
        </r>
        <r>
          <rPr>
            <sz val="9"/>
            <color indexed="81"/>
            <rFont val="Tahoma"/>
            <family val="2"/>
          </rPr>
          <t xml:space="preserve"> </t>
        </r>
        <r>
          <rPr>
            <sz val="9"/>
            <color indexed="81"/>
            <rFont val="돋움"/>
            <family val="3"/>
            <charset val="129"/>
          </rPr>
          <t>비교해</t>
        </r>
        <r>
          <rPr>
            <sz val="9"/>
            <color indexed="81"/>
            <rFont val="Tahoma"/>
            <family val="2"/>
          </rPr>
          <t xml:space="preserve"> diffuse hypermetabolism  </t>
        </r>
        <r>
          <rPr>
            <sz val="9"/>
            <color indexed="81"/>
            <rFont val="돋움"/>
            <family val="3"/>
            <charset val="129"/>
          </rPr>
          <t>이</t>
        </r>
        <r>
          <rPr>
            <sz val="9"/>
            <color indexed="81"/>
            <rFont val="Tahoma"/>
            <family val="2"/>
          </rPr>
          <t xml:space="preserve"> </t>
        </r>
        <r>
          <rPr>
            <sz val="9"/>
            <color indexed="81"/>
            <rFont val="돋움"/>
            <family val="3"/>
            <charset val="129"/>
          </rPr>
          <t>관찰되고</t>
        </r>
        <r>
          <rPr>
            <sz val="9"/>
            <color indexed="81"/>
            <rFont val="Tahoma"/>
            <family val="2"/>
          </rPr>
          <t xml:space="preserve"> </t>
        </r>
        <r>
          <rPr>
            <sz val="9"/>
            <color indexed="81"/>
            <rFont val="돋움"/>
            <family val="3"/>
            <charset val="129"/>
          </rPr>
          <t>있어</t>
        </r>
        <r>
          <rPr>
            <sz val="9"/>
            <color indexed="81"/>
            <rFont val="Tahoma"/>
            <family val="2"/>
          </rPr>
          <t xml:space="preserve"> radiation-related change </t>
        </r>
        <r>
          <rPr>
            <sz val="9"/>
            <color indexed="81"/>
            <rFont val="돋움"/>
            <family val="3"/>
            <charset val="129"/>
          </rPr>
          <t>가</t>
        </r>
        <r>
          <rPr>
            <sz val="9"/>
            <color indexed="81"/>
            <rFont val="Tahoma"/>
            <family val="2"/>
          </rPr>
          <t xml:space="preserve"> </t>
        </r>
        <r>
          <rPr>
            <sz val="9"/>
            <color indexed="81"/>
            <rFont val="돋움"/>
            <family val="3"/>
            <charset val="129"/>
          </rPr>
          <t>동반되어</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것으로</t>
        </r>
        <r>
          <rPr>
            <sz val="9"/>
            <color indexed="81"/>
            <rFont val="Tahoma"/>
            <family val="2"/>
          </rPr>
          <t xml:space="preserve"> </t>
        </r>
        <r>
          <rPr>
            <sz val="9"/>
            <color indexed="81"/>
            <rFont val="돋움"/>
            <family val="3"/>
            <charset val="129"/>
          </rPr>
          <t>생각됨</t>
        </r>
        <r>
          <rPr>
            <sz val="9"/>
            <color indexed="81"/>
            <rFont val="Tahoma"/>
            <family val="2"/>
          </rPr>
          <t xml:space="preserve">.", SUV </t>
        </r>
        <r>
          <rPr>
            <sz val="9"/>
            <color indexed="81"/>
            <rFont val="돋움"/>
            <family val="3"/>
            <charset val="129"/>
          </rPr>
          <t>보고하지</t>
        </r>
        <r>
          <rPr>
            <sz val="9"/>
            <color indexed="81"/>
            <rFont val="Tahoma"/>
            <family val="2"/>
          </rPr>
          <t xml:space="preserve"> </t>
        </r>
        <r>
          <rPr>
            <sz val="9"/>
            <color indexed="81"/>
            <rFont val="돋움"/>
            <family val="3"/>
            <charset val="129"/>
          </rPr>
          <t>않음</t>
        </r>
      </text>
    </comment>
    <comment ref="FS7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2018/5/9 </t>
        </r>
        <r>
          <rPr>
            <sz val="9"/>
            <color indexed="81"/>
            <rFont val="돋움"/>
            <family val="3"/>
            <charset val="129"/>
          </rPr>
          <t>흉부외과</t>
        </r>
        <r>
          <rPr>
            <sz val="9"/>
            <color indexed="81"/>
            <rFont val="Tahoma"/>
            <family val="2"/>
          </rPr>
          <t xml:space="preserve"> </t>
        </r>
        <r>
          <rPr>
            <sz val="9"/>
            <color indexed="81"/>
            <rFont val="돋움"/>
            <family val="3"/>
            <charset val="129"/>
          </rPr>
          <t>외래</t>
        </r>
      </text>
    </comment>
    <comment ref="FT7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dysphagia - 2019/3/11 </t>
        </r>
        <r>
          <rPr>
            <sz val="9"/>
            <color indexed="81"/>
            <rFont val="돋움"/>
            <family val="3"/>
            <charset val="129"/>
          </rPr>
          <t xml:space="preserve">본과외래
</t>
        </r>
        <r>
          <rPr>
            <sz val="9"/>
            <color indexed="81"/>
            <rFont val="Tahoma"/>
            <family val="2"/>
          </rPr>
          <t xml:space="preserve">reflux - 2018/6/20, 2018/9/5, 2020/1/15 </t>
        </r>
        <r>
          <rPr>
            <sz val="9"/>
            <color indexed="81"/>
            <rFont val="돋움"/>
            <family val="3"/>
            <charset val="129"/>
          </rPr>
          <t>흉부외과</t>
        </r>
        <r>
          <rPr>
            <sz val="9"/>
            <color indexed="81"/>
            <rFont val="Tahoma"/>
            <family val="2"/>
          </rPr>
          <t xml:space="preserve"> </t>
        </r>
        <r>
          <rPr>
            <sz val="9"/>
            <color indexed="81"/>
            <rFont val="돋움"/>
            <family val="3"/>
            <charset val="129"/>
          </rPr>
          <t>외래</t>
        </r>
      </text>
    </comment>
    <comment ref="FU7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2018/5/23 </t>
        </r>
        <r>
          <rPr>
            <sz val="9"/>
            <color indexed="81"/>
            <rFont val="돋움"/>
            <family val="3"/>
            <charset val="129"/>
          </rPr>
          <t>흉부외과</t>
        </r>
        <r>
          <rPr>
            <sz val="9"/>
            <color indexed="81"/>
            <rFont val="Tahoma"/>
            <family val="2"/>
          </rPr>
          <t xml:space="preserve"> </t>
        </r>
        <r>
          <rPr>
            <sz val="9"/>
            <color indexed="81"/>
            <rFont val="돋움"/>
            <family val="3"/>
            <charset val="129"/>
          </rPr>
          <t>외래</t>
        </r>
        <r>
          <rPr>
            <sz val="9"/>
            <color indexed="81"/>
            <rFont val="Tahoma"/>
            <family val="2"/>
          </rPr>
          <t xml:space="preserve"> </t>
        </r>
        <r>
          <rPr>
            <sz val="9"/>
            <color indexed="81"/>
            <rFont val="돋움"/>
            <family val="3"/>
            <charset val="129"/>
          </rPr>
          <t>기록</t>
        </r>
        <r>
          <rPr>
            <sz val="9"/>
            <color indexed="81"/>
            <rFont val="Tahoma"/>
            <family val="2"/>
          </rPr>
          <t xml:space="preserve"> </t>
        </r>
        <r>
          <rPr>
            <sz val="9"/>
            <color indexed="81"/>
            <rFont val="돋움"/>
            <family val="3"/>
            <charset val="129"/>
          </rPr>
          <t>보면</t>
        </r>
        <r>
          <rPr>
            <sz val="9"/>
            <color indexed="81"/>
            <rFont val="Tahoma"/>
            <family val="2"/>
          </rPr>
          <t xml:space="preserve"> EGD </t>
        </r>
        <r>
          <rPr>
            <sz val="9"/>
            <color indexed="81"/>
            <rFont val="돋움"/>
            <family val="3"/>
            <charset val="129"/>
          </rPr>
          <t>상에서</t>
        </r>
        <r>
          <rPr>
            <sz val="9"/>
            <color indexed="81"/>
            <rFont val="Tahoma"/>
            <family val="2"/>
          </rPr>
          <t xml:space="preserve"> anastomosis stricture </t>
        </r>
        <r>
          <rPr>
            <sz val="9"/>
            <color indexed="81"/>
            <rFont val="돋움"/>
            <family val="3"/>
            <charset val="129"/>
          </rPr>
          <t>소견이</t>
        </r>
        <r>
          <rPr>
            <sz val="9"/>
            <color indexed="81"/>
            <rFont val="Tahoma"/>
            <family val="2"/>
          </rPr>
          <t xml:space="preserve"> </t>
        </r>
        <r>
          <rPr>
            <sz val="9"/>
            <color indexed="81"/>
            <rFont val="돋움"/>
            <family val="3"/>
            <charset val="129"/>
          </rPr>
          <t>있었다는</t>
        </r>
        <r>
          <rPr>
            <sz val="9"/>
            <color indexed="81"/>
            <rFont val="Tahoma"/>
            <family val="2"/>
          </rPr>
          <t xml:space="preserve"> </t>
        </r>
        <r>
          <rPr>
            <sz val="9"/>
            <color indexed="81"/>
            <rFont val="돋움"/>
            <family val="3"/>
            <charset val="129"/>
          </rPr>
          <t>언급</t>
        </r>
        <r>
          <rPr>
            <sz val="9"/>
            <color indexed="81"/>
            <rFont val="Tahoma"/>
            <family val="2"/>
          </rPr>
          <t xml:space="preserve">. </t>
        </r>
        <r>
          <rPr>
            <sz val="9"/>
            <color indexed="81"/>
            <rFont val="돋움"/>
            <family val="3"/>
            <charset val="129"/>
          </rPr>
          <t>관련된</t>
        </r>
        <r>
          <rPr>
            <sz val="9"/>
            <color indexed="81"/>
            <rFont val="Tahoma"/>
            <family val="2"/>
          </rPr>
          <t xml:space="preserve"> </t>
        </r>
        <r>
          <rPr>
            <sz val="9"/>
            <color indexed="81"/>
            <rFont val="돋움"/>
            <family val="3"/>
            <charset val="129"/>
          </rPr>
          <t>치료는</t>
        </r>
        <r>
          <rPr>
            <sz val="9"/>
            <color indexed="81"/>
            <rFont val="Tahoma"/>
            <family val="2"/>
          </rPr>
          <t xml:space="preserve"> </t>
        </r>
        <r>
          <rPr>
            <sz val="9"/>
            <color indexed="81"/>
            <rFont val="돋움"/>
            <family val="3"/>
            <charset val="129"/>
          </rPr>
          <t>시행하지</t>
        </r>
        <r>
          <rPr>
            <sz val="9"/>
            <color indexed="81"/>
            <rFont val="Tahoma"/>
            <family val="2"/>
          </rPr>
          <t xml:space="preserve"> </t>
        </r>
        <r>
          <rPr>
            <sz val="9"/>
            <color indexed="81"/>
            <rFont val="돋움"/>
            <family val="3"/>
            <charset val="129"/>
          </rPr>
          <t>않았으나</t>
        </r>
        <r>
          <rPr>
            <sz val="9"/>
            <color indexed="81"/>
            <rFont val="Tahoma"/>
            <family val="2"/>
          </rPr>
          <t xml:space="preserve"> aspiration pneumonia, dysphagia, reflux </t>
        </r>
        <r>
          <rPr>
            <sz val="9"/>
            <color indexed="81"/>
            <rFont val="돋움"/>
            <family val="3"/>
            <charset val="129"/>
          </rPr>
          <t>등이</t>
        </r>
        <r>
          <rPr>
            <sz val="9"/>
            <color indexed="81"/>
            <rFont val="Tahoma"/>
            <family val="2"/>
          </rPr>
          <t xml:space="preserve"> </t>
        </r>
        <r>
          <rPr>
            <sz val="9"/>
            <color indexed="81"/>
            <rFont val="돋움"/>
            <family val="3"/>
            <charset val="129"/>
          </rPr>
          <t>연관되지</t>
        </r>
        <r>
          <rPr>
            <sz val="9"/>
            <color indexed="81"/>
            <rFont val="Tahoma"/>
            <family val="2"/>
          </rPr>
          <t xml:space="preserve"> </t>
        </r>
        <r>
          <rPr>
            <sz val="9"/>
            <color indexed="81"/>
            <rFont val="돋움"/>
            <family val="3"/>
            <charset val="129"/>
          </rPr>
          <t>않았을까</t>
        </r>
        <r>
          <rPr>
            <sz val="9"/>
            <color indexed="81"/>
            <rFont val="Tahoma"/>
            <family val="2"/>
          </rPr>
          <t xml:space="preserve"> </t>
        </r>
        <r>
          <rPr>
            <sz val="9"/>
            <color indexed="81"/>
            <rFont val="돋움"/>
            <family val="3"/>
            <charset val="129"/>
          </rPr>
          <t>한다</t>
        </r>
        <r>
          <rPr>
            <sz val="9"/>
            <color indexed="81"/>
            <rFont val="Tahoma"/>
            <family val="2"/>
          </rPr>
          <t>.</t>
        </r>
      </text>
    </comment>
    <comment ref="AF79" authorId="0" shapeId="0">
      <text>
        <r>
          <rPr>
            <b/>
            <sz val="9"/>
            <color indexed="81"/>
            <rFont val="Tahoma"/>
            <family val="2"/>
          </rPr>
          <t xml:space="preserve">Windows </t>
        </r>
        <r>
          <rPr>
            <b/>
            <sz val="9"/>
            <color indexed="81"/>
            <rFont val="돋움"/>
            <family val="3"/>
            <charset val="129"/>
          </rPr>
          <t>사용자</t>
        </r>
        <r>
          <rPr>
            <b/>
            <sz val="9"/>
            <color indexed="81"/>
            <rFont val="Tahoma"/>
            <family val="2"/>
          </rPr>
          <t xml:space="preserve">:
</t>
        </r>
        <r>
          <rPr>
            <sz val="9"/>
            <color indexed="81"/>
            <rFont val="Tahoma"/>
            <family val="2"/>
          </rPr>
          <t>SCL</t>
        </r>
      </text>
    </comment>
    <comment ref="AX7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주의</t>
        </r>
        <r>
          <rPr>
            <sz val="9"/>
            <color indexed="81"/>
            <rFont val="Tahoma"/>
            <family val="2"/>
          </rPr>
          <t>: GTV</t>
        </r>
        <r>
          <rPr>
            <sz val="9"/>
            <color indexed="81"/>
            <rFont val="돋움"/>
            <family val="3"/>
            <charset val="129"/>
          </rPr>
          <t>에서</t>
        </r>
        <r>
          <rPr>
            <sz val="9"/>
            <color indexed="81"/>
            <rFont val="Tahoma"/>
            <family val="2"/>
          </rPr>
          <t xml:space="preserve"> </t>
        </r>
        <r>
          <rPr>
            <sz val="9"/>
            <color indexed="81"/>
            <rFont val="돋움"/>
            <family val="3"/>
            <charset val="129"/>
          </rPr>
          <t>바로</t>
        </r>
        <r>
          <rPr>
            <sz val="9"/>
            <color indexed="81"/>
            <rFont val="Tahoma"/>
            <family val="2"/>
          </rPr>
          <t xml:space="preserve"> PTV </t>
        </r>
        <r>
          <rPr>
            <sz val="9"/>
            <color indexed="81"/>
            <rFont val="돋움"/>
            <family val="3"/>
            <charset val="129"/>
          </rPr>
          <t>만든것임</t>
        </r>
        <r>
          <rPr>
            <sz val="9"/>
            <color indexed="81"/>
            <rFont val="Tahoma"/>
            <family val="2"/>
          </rPr>
          <t>.</t>
        </r>
      </text>
    </comment>
    <comment ref="CH7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'Ivor Lewis'</t>
        </r>
        <r>
          <rPr>
            <sz val="9"/>
            <color indexed="81"/>
            <rFont val="돋움"/>
            <family val="3"/>
            <charset val="129"/>
          </rPr>
          <t>라고도</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헷갈린다</t>
        </r>
        <r>
          <rPr>
            <sz val="9"/>
            <color indexed="81"/>
            <rFont val="Tahoma"/>
            <family val="2"/>
          </rPr>
          <t>.</t>
        </r>
      </text>
    </comment>
    <comment ref="AF8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'posterior para-aortic'</t>
        </r>
        <r>
          <rPr>
            <sz val="9"/>
            <color indexed="81"/>
            <rFont val="돋움"/>
            <family val="3"/>
            <charset val="129"/>
          </rPr>
          <t>이</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애매하겐</t>
        </r>
        <r>
          <rPr>
            <sz val="9"/>
            <color indexed="81"/>
            <rFont val="Tahoma"/>
            <family val="2"/>
          </rPr>
          <t xml:space="preserve"> </t>
        </r>
        <r>
          <rPr>
            <sz val="9"/>
            <color indexed="81"/>
            <rFont val="돋움"/>
            <family val="3"/>
            <charset val="129"/>
          </rPr>
          <t>힌데</t>
        </r>
        <r>
          <rPr>
            <sz val="9"/>
            <color indexed="81"/>
            <rFont val="Tahoma"/>
            <family val="2"/>
          </rPr>
          <t>...</t>
        </r>
      </text>
    </comment>
    <comment ref="FS8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nausea, reflux - 2018/2/7, 2/21 </t>
        </r>
        <r>
          <rPr>
            <sz val="9"/>
            <color indexed="81"/>
            <rFont val="돋움"/>
            <family val="3"/>
            <charset val="129"/>
          </rPr>
          <t>흉부외과</t>
        </r>
        <r>
          <rPr>
            <sz val="9"/>
            <color indexed="81"/>
            <rFont val="Tahoma"/>
            <family val="2"/>
          </rPr>
          <t xml:space="preserve"> </t>
        </r>
        <r>
          <rPr>
            <sz val="9"/>
            <color indexed="81"/>
            <rFont val="돋움"/>
            <family val="3"/>
            <charset val="129"/>
          </rPr>
          <t xml:space="preserve">기록
</t>
        </r>
        <r>
          <rPr>
            <sz val="9"/>
            <color indexed="81"/>
            <rFont val="Tahoma"/>
            <family val="2"/>
          </rPr>
          <t xml:space="preserve">RT esophagitis - 2017/12/8 </t>
        </r>
        <r>
          <rPr>
            <sz val="9"/>
            <color indexed="81"/>
            <rFont val="돋움"/>
            <family val="3"/>
            <charset val="129"/>
          </rPr>
          <t>내과</t>
        </r>
        <r>
          <rPr>
            <sz val="9"/>
            <color indexed="81"/>
            <rFont val="Tahoma"/>
            <family val="2"/>
          </rPr>
          <t xml:space="preserve"> </t>
        </r>
        <r>
          <rPr>
            <sz val="9"/>
            <color indexed="81"/>
            <rFont val="돋움"/>
            <family val="3"/>
            <charset val="129"/>
          </rPr>
          <t>기록</t>
        </r>
      </text>
    </comment>
    <comment ref="P8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bx </t>
        </r>
        <r>
          <rPr>
            <sz val="9"/>
            <color indexed="81"/>
            <rFont val="돋움"/>
            <family val="3"/>
            <charset val="129"/>
          </rPr>
          <t>검체에는</t>
        </r>
        <r>
          <rPr>
            <sz val="9"/>
            <color indexed="81"/>
            <rFont val="Tahoma"/>
            <family val="2"/>
          </rPr>
          <t xml:space="preserve"> </t>
        </r>
        <r>
          <rPr>
            <sz val="9"/>
            <color indexed="81"/>
            <rFont val="돋움"/>
            <family val="3"/>
            <charset val="129"/>
          </rPr>
          <t>언급이</t>
        </r>
        <r>
          <rPr>
            <sz val="9"/>
            <color indexed="81"/>
            <rFont val="Tahoma"/>
            <family val="2"/>
          </rPr>
          <t xml:space="preserve"> </t>
        </r>
        <r>
          <rPr>
            <sz val="9"/>
            <color indexed="81"/>
            <rFont val="돋움"/>
            <family val="3"/>
            <charset val="129"/>
          </rPr>
          <t>없다</t>
        </r>
        <r>
          <rPr>
            <sz val="9"/>
            <color indexed="81"/>
            <rFont val="Tahoma"/>
            <family val="2"/>
          </rPr>
          <t>.</t>
        </r>
      </text>
    </comment>
    <comment ref="T8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upper/middle? Azygos vein level</t>
        </r>
        <r>
          <rPr>
            <sz val="9"/>
            <color indexed="81"/>
            <rFont val="돋움"/>
            <family val="3"/>
            <charset val="129"/>
          </rPr>
          <t>에</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걸쳐있어서</t>
        </r>
      </text>
    </comment>
    <comment ref="Y8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direct invasion to aorta</t>
        </r>
      </text>
    </comment>
    <comment ref="AK8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기록</t>
        </r>
        <r>
          <rPr>
            <sz val="9"/>
            <color indexed="81"/>
            <rFont val="Tahoma"/>
            <family val="2"/>
          </rPr>
          <t xml:space="preserve"> </t>
        </r>
        <r>
          <rPr>
            <sz val="9"/>
            <color indexed="81"/>
            <rFont val="돋움"/>
            <family val="3"/>
            <charset val="129"/>
          </rPr>
          <t>누락</t>
        </r>
      </text>
    </comment>
    <comment ref="AN8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아주</t>
        </r>
        <r>
          <rPr>
            <sz val="9"/>
            <color indexed="81"/>
            <rFont val="Tahoma"/>
            <family val="2"/>
          </rPr>
          <t xml:space="preserve"> </t>
        </r>
        <r>
          <rPr>
            <sz val="9"/>
            <color indexed="81"/>
            <rFont val="돋움"/>
            <family val="3"/>
            <charset val="129"/>
          </rPr>
          <t>정확하지는</t>
        </r>
        <r>
          <rPr>
            <sz val="9"/>
            <color indexed="81"/>
            <rFont val="Tahoma"/>
            <family val="2"/>
          </rPr>
          <t xml:space="preserve"> </t>
        </r>
        <r>
          <rPr>
            <sz val="9"/>
            <color indexed="81"/>
            <rFont val="돋움"/>
            <family val="3"/>
            <charset val="129"/>
          </rPr>
          <t>않다</t>
        </r>
        <r>
          <rPr>
            <sz val="9"/>
            <color indexed="81"/>
            <rFont val="Tahoma"/>
            <family val="2"/>
          </rPr>
          <t>.</t>
        </r>
      </text>
    </comment>
    <comment ref="AU8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기록</t>
        </r>
        <r>
          <rPr>
            <sz val="9"/>
            <color indexed="81"/>
            <rFont val="Tahoma"/>
            <family val="2"/>
          </rPr>
          <t xml:space="preserve"> </t>
        </r>
        <r>
          <rPr>
            <sz val="9"/>
            <color indexed="81"/>
            <rFont val="돋움"/>
            <family val="3"/>
            <charset val="129"/>
          </rPr>
          <t>누락</t>
        </r>
      </text>
    </comment>
    <comment ref="BU8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t>
        </r>
        <r>
          <rPr>
            <sz val="9"/>
            <color indexed="81"/>
            <rFont val="돋움"/>
            <family val="3"/>
            <charset val="129"/>
          </rPr>
          <t>는</t>
        </r>
        <r>
          <rPr>
            <sz val="9"/>
            <color indexed="81"/>
            <rFont val="Tahoma"/>
            <family val="2"/>
          </rPr>
          <t xml:space="preserve"> patient refused</t>
        </r>
      </text>
    </comment>
    <comment ref="CH8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LN dissection field </t>
        </r>
        <r>
          <rPr>
            <sz val="9"/>
            <color indexed="81"/>
            <rFont val="돋움"/>
            <family val="3"/>
            <charset val="129"/>
          </rPr>
          <t>언급은</t>
        </r>
        <r>
          <rPr>
            <sz val="9"/>
            <color indexed="81"/>
            <rFont val="Tahoma"/>
            <family val="2"/>
          </rPr>
          <t xml:space="preserve"> </t>
        </r>
        <r>
          <rPr>
            <sz val="9"/>
            <color indexed="81"/>
            <rFont val="돋움"/>
            <family val="3"/>
            <charset val="129"/>
          </rPr>
          <t>없네</t>
        </r>
      </text>
    </comment>
    <comment ref="DF8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high grade dysplasia</t>
        </r>
      </text>
    </comment>
    <comment ref="DQ8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Descending thoracic aorta </t>
        </r>
        <r>
          <rPr>
            <sz val="9"/>
            <color indexed="81"/>
            <rFont val="돋움"/>
            <family val="3"/>
            <charset val="129"/>
          </rPr>
          <t>주변으로</t>
        </r>
        <r>
          <rPr>
            <sz val="9"/>
            <color indexed="81"/>
            <rFont val="Tahoma"/>
            <family val="2"/>
          </rPr>
          <t xml:space="preserve"> recurrence </t>
        </r>
        <r>
          <rPr>
            <sz val="9"/>
            <color indexed="81"/>
            <rFont val="돋움"/>
            <family val="3"/>
            <charset val="129"/>
          </rPr>
          <t>발생함</t>
        </r>
        <r>
          <rPr>
            <sz val="9"/>
            <color indexed="81"/>
            <rFont val="Tahoma"/>
            <family val="2"/>
          </rPr>
          <t xml:space="preserve">. </t>
        </r>
        <r>
          <rPr>
            <sz val="9"/>
            <color indexed="81"/>
            <rFont val="돋움"/>
            <family val="3"/>
            <charset val="129"/>
          </rPr>
          <t>영상의학과의</t>
        </r>
        <r>
          <rPr>
            <sz val="9"/>
            <color indexed="81"/>
            <rFont val="Tahoma"/>
            <family val="2"/>
          </rPr>
          <t xml:space="preserve"> </t>
        </r>
        <r>
          <rPr>
            <sz val="9"/>
            <color indexed="81"/>
            <rFont val="돋움"/>
            <family val="3"/>
            <charset val="129"/>
          </rPr>
          <t>판독으로는</t>
        </r>
        <r>
          <rPr>
            <sz val="9"/>
            <color indexed="81"/>
            <rFont val="Tahoma"/>
            <family val="2"/>
          </rPr>
          <t xml:space="preserve"> </t>
        </r>
        <r>
          <rPr>
            <sz val="9"/>
            <color indexed="81"/>
            <rFont val="돋움"/>
            <family val="3"/>
            <charset val="129"/>
          </rPr>
          <t>이전</t>
        </r>
        <r>
          <rPr>
            <sz val="9"/>
            <color indexed="81"/>
            <rFont val="Tahoma"/>
            <family val="2"/>
          </rPr>
          <t xml:space="preserve"> op site </t>
        </r>
        <r>
          <rPr>
            <sz val="9"/>
            <color indexed="81"/>
            <rFont val="돋움"/>
            <family val="3"/>
            <charset val="129"/>
          </rPr>
          <t>인근으로</t>
        </r>
        <r>
          <rPr>
            <sz val="9"/>
            <color indexed="81"/>
            <rFont val="Tahoma"/>
            <family val="2"/>
          </rPr>
          <t xml:space="preserve"> tumor recurrence</t>
        </r>
        <r>
          <rPr>
            <sz val="9"/>
            <color indexed="81"/>
            <rFont val="돋움"/>
            <family val="3"/>
            <charset val="129"/>
          </rPr>
          <t>로</t>
        </r>
        <r>
          <rPr>
            <sz val="9"/>
            <color indexed="81"/>
            <rFont val="Tahoma"/>
            <family val="2"/>
          </rPr>
          <t xml:space="preserve"> </t>
        </r>
        <r>
          <rPr>
            <sz val="9"/>
            <color indexed="81"/>
            <rFont val="돋움"/>
            <family val="3"/>
            <charset val="129"/>
          </rPr>
          <t>해석했지만</t>
        </r>
        <r>
          <rPr>
            <sz val="9"/>
            <color indexed="81"/>
            <rFont val="Tahoma"/>
            <family val="2"/>
          </rPr>
          <t xml:space="preserve">, </t>
        </r>
        <r>
          <rPr>
            <sz val="9"/>
            <color indexed="81"/>
            <rFont val="돋움"/>
            <family val="3"/>
            <charset val="129"/>
          </rPr>
          <t>보통</t>
        </r>
        <r>
          <rPr>
            <sz val="9"/>
            <color indexed="81"/>
            <rFont val="Tahoma"/>
            <family val="2"/>
          </rPr>
          <t xml:space="preserve"> esophageal cancer</t>
        </r>
        <r>
          <rPr>
            <sz val="9"/>
            <color indexed="81"/>
            <rFont val="돋움"/>
            <family val="3"/>
            <charset val="129"/>
          </rPr>
          <t>에서</t>
        </r>
        <r>
          <rPr>
            <sz val="9"/>
            <color indexed="81"/>
            <rFont val="Tahoma"/>
            <family val="2"/>
          </rPr>
          <t xml:space="preserve"> local recurrence</t>
        </r>
        <r>
          <rPr>
            <sz val="9"/>
            <color indexed="81"/>
            <rFont val="돋움"/>
            <family val="3"/>
            <charset val="129"/>
          </rPr>
          <t>라면</t>
        </r>
        <r>
          <rPr>
            <sz val="9"/>
            <color indexed="81"/>
            <rFont val="Tahoma"/>
            <family val="2"/>
          </rPr>
          <t xml:space="preserve"> anastomotic failure</t>
        </r>
        <r>
          <rPr>
            <sz val="9"/>
            <color indexed="81"/>
            <rFont val="돋움"/>
            <family val="3"/>
            <charset val="129"/>
          </rPr>
          <t>로</t>
        </r>
        <r>
          <rPr>
            <sz val="9"/>
            <color indexed="81"/>
            <rFont val="Tahoma"/>
            <family val="2"/>
          </rPr>
          <t xml:space="preserve"> </t>
        </r>
        <r>
          <rPr>
            <sz val="9"/>
            <color indexed="81"/>
            <rFont val="돋움"/>
            <family val="3"/>
            <charset val="129"/>
          </rPr>
          <t>정의하지</t>
        </r>
        <r>
          <rPr>
            <sz val="9"/>
            <color indexed="81"/>
            <rFont val="Tahoma"/>
            <family val="2"/>
          </rPr>
          <t xml:space="preserve"> </t>
        </r>
        <r>
          <rPr>
            <sz val="9"/>
            <color indexed="81"/>
            <rFont val="돋움"/>
            <family val="3"/>
            <charset val="129"/>
          </rPr>
          <t>않나</t>
        </r>
        <r>
          <rPr>
            <sz val="9"/>
            <color indexed="81"/>
            <rFont val="Tahoma"/>
            <family val="2"/>
          </rPr>
          <t>?</t>
        </r>
      </text>
    </comment>
    <comment ref="DV8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aorta </t>
        </r>
        <r>
          <rPr>
            <sz val="9"/>
            <color indexed="81"/>
            <rFont val="돋움"/>
            <family val="3"/>
            <charset val="129"/>
          </rPr>
          <t>바깥쪽에서</t>
        </r>
        <r>
          <rPr>
            <sz val="9"/>
            <color indexed="81"/>
            <rFont val="Tahoma"/>
            <family val="2"/>
          </rPr>
          <t xml:space="preserve"> recurrence</t>
        </r>
      </text>
    </comment>
    <comment ref="EC8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근처의</t>
        </r>
        <r>
          <rPr>
            <sz val="9"/>
            <color indexed="81"/>
            <rFont val="Tahoma"/>
            <family val="2"/>
          </rPr>
          <t xml:space="preserve"> retrocrural lymph node metastasis</t>
        </r>
        <r>
          <rPr>
            <sz val="9"/>
            <color indexed="81"/>
            <rFont val="돋움"/>
            <family val="3"/>
            <charset val="129"/>
          </rPr>
          <t>는</t>
        </r>
        <r>
          <rPr>
            <sz val="9"/>
            <color indexed="81"/>
            <rFont val="Tahoma"/>
            <family val="2"/>
          </rPr>
          <t xml:space="preserve"> </t>
        </r>
        <r>
          <rPr>
            <sz val="9"/>
            <color indexed="81"/>
            <rFont val="돋움"/>
            <family val="3"/>
            <charset val="129"/>
          </rPr>
          <t>또</t>
        </r>
        <r>
          <rPr>
            <sz val="9"/>
            <color indexed="81"/>
            <rFont val="Tahoma"/>
            <family val="2"/>
          </rPr>
          <t xml:space="preserve"> </t>
        </r>
        <r>
          <rPr>
            <sz val="9"/>
            <color indexed="81"/>
            <rFont val="돋움"/>
            <family val="3"/>
            <charset val="129"/>
          </rPr>
          <t>발생하였지만</t>
        </r>
        <r>
          <rPr>
            <sz val="9"/>
            <color indexed="81"/>
            <rFont val="Tahoma"/>
            <family val="2"/>
          </rPr>
          <t>.</t>
        </r>
      </text>
    </comment>
    <comment ref="AZ8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 1.0
LN: 0.7</t>
        </r>
      </text>
    </comment>
    <comment ref="DF8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high grade dysplasia</t>
        </r>
      </text>
    </comment>
    <comment ref="AS8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그룹에</t>
        </r>
        <r>
          <rPr>
            <sz val="9"/>
            <color indexed="81"/>
            <rFont val="Tahoma"/>
            <family val="2"/>
          </rPr>
          <t xml:space="preserve"> </t>
        </r>
        <r>
          <rPr>
            <sz val="9"/>
            <color indexed="81"/>
            <rFont val="돋움"/>
            <family val="3"/>
            <charset val="129"/>
          </rPr>
          <t>포함했다가</t>
        </r>
        <r>
          <rPr>
            <sz val="9"/>
            <color indexed="81"/>
            <rFont val="Tahoma"/>
            <family val="2"/>
          </rPr>
          <t xml:space="preserve"> LN 1cm</t>
        </r>
        <r>
          <rPr>
            <sz val="9"/>
            <color indexed="81"/>
            <rFont val="돋움"/>
            <family val="3"/>
            <charset val="129"/>
          </rPr>
          <t>이라서</t>
        </r>
        <r>
          <rPr>
            <sz val="9"/>
            <color indexed="81"/>
            <rFont val="Tahoma"/>
            <family val="2"/>
          </rPr>
          <t xml:space="preserve"> </t>
        </r>
        <r>
          <rPr>
            <sz val="9"/>
            <color indexed="81"/>
            <rFont val="돋움"/>
            <family val="3"/>
            <charset val="129"/>
          </rPr>
          <t>빠진</t>
        </r>
        <r>
          <rPr>
            <sz val="9"/>
            <color indexed="81"/>
            <rFont val="Tahoma"/>
            <family val="2"/>
          </rPr>
          <t xml:space="preserve"> </t>
        </r>
        <r>
          <rPr>
            <sz val="9"/>
            <color indexed="81"/>
            <rFont val="돋움"/>
            <family val="3"/>
            <charset val="129"/>
          </rPr>
          <t>사람이</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사람</t>
        </r>
        <r>
          <rPr>
            <sz val="9"/>
            <color indexed="81"/>
            <rFont val="Tahoma"/>
            <family val="2"/>
          </rPr>
          <t>.</t>
        </r>
      </text>
    </comment>
    <comment ref="AT8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r>
          <rPr>
            <sz val="9"/>
            <color indexed="81"/>
            <rFont val="돋움"/>
            <family val="3"/>
            <charset val="129"/>
          </rPr>
          <t>의</t>
        </r>
        <r>
          <rPr>
            <sz val="9"/>
            <color indexed="81"/>
            <rFont val="Tahoma"/>
            <family val="2"/>
          </rPr>
          <t xml:space="preserve"> lymph node</t>
        </r>
        <r>
          <rPr>
            <sz val="9"/>
            <color indexed="81"/>
            <rFont val="돋움"/>
            <family val="3"/>
            <charset val="129"/>
          </rPr>
          <t>를</t>
        </r>
        <r>
          <rPr>
            <sz val="9"/>
            <color indexed="81"/>
            <rFont val="Tahoma"/>
            <family val="2"/>
          </rPr>
          <t xml:space="preserve"> </t>
        </r>
        <r>
          <rPr>
            <sz val="9"/>
            <color indexed="81"/>
            <rFont val="돋움"/>
            <family val="3"/>
            <charset val="129"/>
          </rPr>
          <t>포함할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추가적인</t>
        </r>
        <r>
          <rPr>
            <sz val="9"/>
            <color indexed="81"/>
            <rFont val="Tahoma"/>
            <family val="2"/>
          </rPr>
          <t xml:space="preserve"> axial plane</t>
        </r>
        <r>
          <rPr>
            <sz val="9"/>
            <color indexed="81"/>
            <rFont val="돋움"/>
            <family val="3"/>
            <charset val="129"/>
          </rPr>
          <t>의</t>
        </r>
        <r>
          <rPr>
            <sz val="9"/>
            <color indexed="81"/>
            <rFont val="Tahoma"/>
            <family val="2"/>
          </rPr>
          <t xml:space="preserve"> expansion</t>
        </r>
        <r>
          <rPr>
            <sz val="9"/>
            <color indexed="81"/>
            <rFont val="돋움"/>
            <family val="3"/>
            <charset val="129"/>
          </rPr>
          <t>이</t>
        </r>
        <r>
          <rPr>
            <sz val="9"/>
            <color indexed="81"/>
            <rFont val="Tahoma"/>
            <family val="2"/>
          </rPr>
          <t xml:space="preserve"> esophagus</t>
        </r>
        <r>
          <rPr>
            <sz val="9"/>
            <color indexed="81"/>
            <rFont val="돋움"/>
            <family val="3"/>
            <charset val="129"/>
          </rPr>
          <t>를</t>
        </r>
        <r>
          <rPr>
            <sz val="9"/>
            <color indexed="81"/>
            <rFont val="Tahoma"/>
            <family val="2"/>
          </rPr>
          <t xml:space="preserve"> </t>
        </r>
        <r>
          <rPr>
            <sz val="9"/>
            <color indexed="81"/>
            <rFont val="돋움"/>
            <family val="3"/>
            <charset val="129"/>
          </rPr>
          <t>약</t>
        </r>
        <r>
          <rPr>
            <sz val="9"/>
            <color indexed="81"/>
            <rFont val="Tahoma"/>
            <family val="2"/>
          </rPr>
          <t xml:space="preserve"> 4cm </t>
        </r>
        <r>
          <rPr>
            <sz val="9"/>
            <color indexed="81"/>
            <rFont val="돋움"/>
            <family val="3"/>
            <charset val="129"/>
          </rPr>
          <t>정도</t>
        </r>
        <r>
          <rPr>
            <sz val="9"/>
            <color indexed="81"/>
            <rFont val="Tahoma"/>
            <family val="2"/>
          </rPr>
          <t xml:space="preserve"> cover</t>
        </r>
        <r>
          <rPr>
            <sz val="9"/>
            <color indexed="81"/>
            <rFont val="돋움"/>
            <family val="3"/>
            <charset val="129"/>
          </rPr>
          <t>하는</t>
        </r>
        <r>
          <rPr>
            <sz val="9"/>
            <color indexed="81"/>
            <rFont val="Tahoma"/>
            <family val="2"/>
          </rPr>
          <t xml:space="preserve"> </t>
        </r>
        <r>
          <rPr>
            <sz val="9"/>
            <color indexed="81"/>
            <rFont val="돋움"/>
            <family val="3"/>
            <charset val="129"/>
          </rPr>
          <t>듯</t>
        </r>
        <r>
          <rPr>
            <sz val="9"/>
            <color indexed="81"/>
            <rFont val="Tahoma"/>
            <family val="2"/>
          </rPr>
          <t>.</t>
        </r>
      </text>
    </comment>
    <comment ref="CC86" authorId="1" shapeId="0">
      <text>
        <r>
          <rPr>
            <b/>
            <sz val="9"/>
            <color indexed="81"/>
            <rFont val="Tahoma"/>
            <family val="2"/>
          </rPr>
          <t>SNUH:</t>
        </r>
        <r>
          <rPr>
            <sz val="9"/>
            <color indexed="81"/>
            <rFont val="Tahoma"/>
            <family val="2"/>
          </rPr>
          <t xml:space="preserve">
o/s PET, </t>
        </r>
        <r>
          <rPr>
            <sz val="9"/>
            <color indexed="81"/>
            <rFont val="돋움"/>
            <family val="3"/>
            <charset val="129"/>
          </rPr>
          <t>외부</t>
        </r>
        <r>
          <rPr>
            <sz val="9"/>
            <color indexed="81"/>
            <rFont val="Tahoma"/>
            <family val="2"/>
          </rPr>
          <t xml:space="preserve"> </t>
        </r>
        <r>
          <rPr>
            <sz val="9"/>
            <color indexed="81"/>
            <rFont val="돋움"/>
            <family val="3"/>
            <charset val="129"/>
          </rPr>
          <t>판독</t>
        </r>
        <r>
          <rPr>
            <sz val="9"/>
            <color indexed="81"/>
            <rFont val="Tahoma"/>
            <family val="2"/>
          </rPr>
          <t xml:space="preserve"> </t>
        </r>
        <r>
          <rPr>
            <sz val="9"/>
            <color indexed="81"/>
            <rFont val="돋움"/>
            <family val="3"/>
            <charset val="129"/>
          </rPr>
          <t>없음</t>
        </r>
      </text>
    </comment>
    <comment ref="CD87" authorId="1" shapeId="0">
      <text>
        <r>
          <rPr>
            <b/>
            <sz val="9"/>
            <color rgb="FF000000"/>
            <rFont val="Tahoma"/>
            <family val="2"/>
          </rPr>
          <t>SNUH:</t>
        </r>
        <r>
          <rPr>
            <sz val="9"/>
            <color rgb="FF000000"/>
            <rFont val="Tahoma"/>
            <family val="2"/>
          </rPr>
          <t xml:space="preserve">
</t>
        </r>
        <r>
          <rPr>
            <sz val="9"/>
            <color rgb="FF000000"/>
            <rFont val="Tahoma"/>
            <family val="2"/>
          </rPr>
          <t>no definite hypermetabolic lesion</t>
        </r>
      </text>
    </comment>
    <comment ref="CN87" authorId="3" shapeId="0">
      <text>
        <r>
          <rPr>
            <b/>
            <sz val="10"/>
            <color rgb="FF000000"/>
            <rFont val="Malgun Gothic"/>
            <family val="2"/>
            <charset val="129"/>
          </rPr>
          <t>Tae Hoon Lee:</t>
        </r>
        <r>
          <rPr>
            <sz val="10"/>
            <color rgb="FF000000"/>
            <rFont val="Malgun Gothic"/>
            <family val="2"/>
            <charset val="129"/>
          </rPr>
          <t xml:space="preserve">
</t>
        </r>
        <r>
          <rPr>
            <sz val="10"/>
            <color rgb="FF000000"/>
            <rFont val="Malgun Gothic"/>
            <family val="2"/>
            <charset val="129"/>
          </rPr>
          <t>정확하지는</t>
        </r>
        <r>
          <rPr>
            <sz val="10"/>
            <color rgb="FF000000"/>
            <rFont val="Malgun Gothic"/>
            <family val="2"/>
            <charset val="129"/>
          </rPr>
          <t xml:space="preserve"> </t>
        </r>
        <r>
          <rPr>
            <sz val="10"/>
            <color rgb="FF000000"/>
            <rFont val="Malgun Gothic"/>
            <family val="2"/>
            <charset val="129"/>
          </rPr>
          <t>않다는</t>
        </r>
        <r>
          <rPr>
            <sz val="10"/>
            <color rgb="FF000000"/>
            <rFont val="Malgun Gothic"/>
            <family val="2"/>
            <charset val="129"/>
          </rPr>
          <t xml:space="preserve"> </t>
        </r>
        <r>
          <rPr>
            <sz val="10"/>
            <color rgb="FF000000"/>
            <rFont val="Malgun Gothic"/>
            <family val="2"/>
            <charset val="129"/>
          </rPr>
          <t>점</t>
        </r>
        <r>
          <rPr>
            <sz val="10"/>
            <color rgb="FF000000"/>
            <rFont val="Malgun Gothic"/>
            <family val="2"/>
            <charset val="129"/>
          </rPr>
          <t xml:space="preserve"> </t>
        </r>
        <r>
          <rPr>
            <sz val="10"/>
            <color rgb="FF000000"/>
            <rFont val="Malgun Gothic"/>
            <family val="2"/>
            <charset val="129"/>
          </rPr>
          <t>유의</t>
        </r>
      </text>
    </comment>
    <comment ref="DJ8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타과</t>
        </r>
        <r>
          <rPr>
            <sz val="9"/>
            <color indexed="81"/>
            <rFont val="Tahoma"/>
            <family val="2"/>
          </rPr>
          <t xml:space="preserve"> </t>
        </r>
        <r>
          <rPr>
            <sz val="9"/>
            <color indexed="81"/>
            <rFont val="돋움"/>
            <family val="3"/>
            <charset val="129"/>
          </rPr>
          <t>외래는</t>
        </r>
        <r>
          <rPr>
            <sz val="9"/>
            <color indexed="81"/>
            <rFont val="Tahoma"/>
            <family val="2"/>
          </rPr>
          <t xml:space="preserve"> </t>
        </r>
        <r>
          <rPr>
            <sz val="9"/>
            <color indexed="81"/>
            <rFont val="돋움"/>
            <family val="3"/>
            <charset val="129"/>
          </rPr>
          <t>지극히</t>
        </r>
        <r>
          <rPr>
            <sz val="9"/>
            <color indexed="81"/>
            <rFont val="Tahoma"/>
            <family val="2"/>
          </rPr>
          <t xml:space="preserve"> </t>
        </r>
        <r>
          <rPr>
            <sz val="9"/>
            <color indexed="81"/>
            <rFont val="돋움"/>
            <family val="3"/>
            <charset val="129"/>
          </rPr>
          <t>최근까지도</t>
        </r>
        <r>
          <rPr>
            <sz val="9"/>
            <color indexed="81"/>
            <rFont val="Tahoma"/>
            <family val="2"/>
          </rPr>
          <t xml:space="preserve"> </t>
        </r>
        <r>
          <rPr>
            <sz val="9"/>
            <color indexed="81"/>
            <rFont val="돋움"/>
            <family val="3"/>
            <charset val="129"/>
          </rPr>
          <t>다니고</t>
        </r>
        <r>
          <rPr>
            <sz val="9"/>
            <color indexed="81"/>
            <rFont val="Tahoma"/>
            <family val="2"/>
          </rPr>
          <t xml:space="preserve"> </t>
        </r>
        <r>
          <rPr>
            <sz val="9"/>
            <color indexed="81"/>
            <rFont val="돋움"/>
            <family val="3"/>
            <charset val="129"/>
          </rPr>
          <t>있음</t>
        </r>
        <r>
          <rPr>
            <sz val="9"/>
            <color indexed="81"/>
            <rFont val="Tahoma"/>
            <family val="2"/>
          </rPr>
          <t>.</t>
        </r>
      </text>
    </comment>
    <comment ref="FU8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s/p balloon dilatation (2018/5/10)
s/p 2015-10-17~18 Bougienage for esophageal stenosis, bougienage #2 </t>
        </r>
      </text>
    </comment>
    <comment ref="AQ8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애매하긴</t>
        </r>
        <r>
          <rPr>
            <sz val="9"/>
            <color indexed="81"/>
            <rFont val="Tahoma"/>
            <family val="2"/>
          </rPr>
          <t xml:space="preserve"> </t>
        </r>
        <r>
          <rPr>
            <sz val="9"/>
            <color indexed="81"/>
            <rFont val="돋움"/>
            <family val="3"/>
            <charset val="129"/>
          </rPr>
          <t>하네</t>
        </r>
        <r>
          <rPr>
            <sz val="9"/>
            <color indexed="81"/>
            <rFont val="Tahoma"/>
            <family val="2"/>
          </rPr>
          <t xml:space="preserve">, CTV </t>
        </r>
        <r>
          <rPr>
            <sz val="9"/>
            <color indexed="81"/>
            <rFont val="돋움"/>
            <family val="3"/>
            <charset val="129"/>
          </rPr>
          <t>위쪽의</t>
        </r>
        <r>
          <rPr>
            <sz val="9"/>
            <color indexed="81"/>
            <rFont val="Tahoma"/>
            <family val="2"/>
          </rPr>
          <t xml:space="preserve"> paratracheal LN area</t>
        </r>
        <r>
          <rPr>
            <sz val="9"/>
            <color indexed="81"/>
            <rFont val="돋움"/>
            <family val="3"/>
            <charset val="129"/>
          </rPr>
          <t>가</t>
        </r>
        <r>
          <rPr>
            <sz val="9"/>
            <color indexed="81"/>
            <rFont val="Tahoma"/>
            <family val="2"/>
          </rPr>
          <t xml:space="preserve"> </t>
        </r>
        <r>
          <rPr>
            <sz val="9"/>
            <color indexed="81"/>
            <rFont val="돋움"/>
            <family val="3"/>
            <charset val="129"/>
          </rPr>
          <t>일부</t>
        </r>
        <r>
          <rPr>
            <sz val="9"/>
            <color indexed="81"/>
            <rFont val="Tahoma"/>
            <family val="2"/>
          </rPr>
          <t xml:space="preserve"> </t>
        </r>
        <r>
          <rPr>
            <sz val="9"/>
            <color indexed="81"/>
            <rFont val="돋움"/>
            <family val="3"/>
            <charset val="129"/>
          </rPr>
          <t>포함된</t>
        </r>
        <r>
          <rPr>
            <sz val="9"/>
            <color indexed="81"/>
            <rFont val="Tahoma"/>
            <family val="2"/>
          </rPr>
          <t xml:space="preserve"> </t>
        </r>
        <r>
          <rPr>
            <sz val="9"/>
            <color indexed="81"/>
            <rFont val="돋움"/>
            <family val="3"/>
            <charset val="129"/>
          </rPr>
          <t>정도일</t>
        </r>
        <r>
          <rPr>
            <sz val="9"/>
            <color indexed="81"/>
            <rFont val="Tahoma"/>
            <family val="2"/>
          </rPr>
          <t xml:space="preserve"> </t>
        </r>
        <r>
          <rPr>
            <sz val="9"/>
            <color indexed="81"/>
            <rFont val="돋움"/>
            <family val="3"/>
            <charset val="129"/>
          </rPr>
          <t>뿐인데</t>
        </r>
        <r>
          <rPr>
            <sz val="9"/>
            <color indexed="81"/>
            <rFont val="Tahoma"/>
            <family val="2"/>
          </rPr>
          <t>.</t>
        </r>
      </text>
    </comment>
    <comment ref="BD8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r>
          <rPr>
            <sz val="9"/>
            <color indexed="81"/>
            <rFont val="돋움"/>
            <family val="3"/>
            <charset val="129"/>
          </rPr>
          <t>까지</t>
        </r>
        <r>
          <rPr>
            <sz val="9"/>
            <color indexed="81"/>
            <rFont val="Tahoma"/>
            <family val="2"/>
          </rPr>
          <t>.</t>
        </r>
      </text>
    </comment>
    <comment ref="DV8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highest mediastinal area</t>
        </r>
      </text>
    </comment>
    <comment ref="FU8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2012/1/20 Adhesive obstruction of interposed ilieum.
(gastrectomy</t>
        </r>
        <r>
          <rPr>
            <sz val="9"/>
            <color indexed="81"/>
            <rFont val="돋움"/>
            <family val="3"/>
            <charset val="129"/>
          </rPr>
          <t>까지</t>
        </r>
        <r>
          <rPr>
            <sz val="9"/>
            <color indexed="81"/>
            <rFont val="Tahoma"/>
            <family val="2"/>
          </rPr>
          <t xml:space="preserve"> </t>
        </r>
        <r>
          <rPr>
            <sz val="9"/>
            <color indexed="81"/>
            <rFont val="돋움"/>
            <family val="3"/>
            <charset val="129"/>
          </rPr>
          <t>시행하여</t>
        </r>
        <r>
          <rPr>
            <sz val="9"/>
            <color indexed="81"/>
            <rFont val="Tahoma"/>
            <family val="2"/>
          </rPr>
          <t xml:space="preserve">, </t>
        </r>
        <r>
          <rPr>
            <sz val="9"/>
            <color indexed="81"/>
            <rFont val="돋움"/>
            <family val="3"/>
            <charset val="129"/>
          </rPr>
          <t>수술</t>
        </r>
        <r>
          <rPr>
            <sz val="9"/>
            <color indexed="81"/>
            <rFont val="Tahoma"/>
            <family val="2"/>
          </rPr>
          <t xml:space="preserve"> </t>
        </r>
        <r>
          <rPr>
            <sz val="9"/>
            <color indexed="81"/>
            <rFont val="돋움"/>
            <family val="3"/>
            <charset val="129"/>
          </rPr>
          <t>범위가</t>
        </r>
        <r>
          <rPr>
            <sz val="9"/>
            <color indexed="81"/>
            <rFont val="Tahoma"/>
            <family val="2"/>
          </rPr>
          <t xml:space="preserve"> </t>
        </r>
        <r>
          <rPr>
            <sz val="9"/>
            <color indexed="81"/>
            <rFont val="돋움"/>
            <family val="3"/>
            <charset val="129"/>
          </rPr>
          <t>보다</t>
        </r>
        <r>
          <rPr>
            <sz val="9"/>
            <color indexed="81"/>
            <rFont val="Tahoma"/>
            <family val="2"/>
          </rPr>
          <t xml:space="preserve"> </t>
        </r>
        <r>
          <rPr>
            <sz val="9"/>
            <color indexed="81"/>
            <rFont val="돋움"/>
            <family val="3"/>
            <charset val="129"/>
          </rPr>
          <t>컸었다</t>
        </r>
        <r>
          <rPr>
            <sz val="9"/>
            <color indexed="81"/>
            <rFont val="Tahoma"/>
            <family val="2"/>
          </rPr>
          <t>.)
Balloon dilatation</t>
        </r>
        <r>
          <rPr>
            <sz val="9"/>
            <color indexed="81"/>
            <rFont val="돋움"/>
            <family val="3"/>
            <charset val="129"/>
          </rPr>
          <t>은</t>
        </r>
        <r>
          <rPr>
            <sz val="9"/>
            <color indexed="81"/>
            <rFont val="Tahoma"/>
            <family val="2"/>
          </rPr>
          <t xml:space="preserve"> </t>
        </r>
        <r>
          <rPr>
            <sz val="9"/>
            <color indexed="81"/>
            <rFont val="돋움"/>
            <family val="3"/>
            <charset val="129"/>
          </rPr>
          <t>시행하지</t>
        </r>
        <r>
          <rPr>
            <sz val="9"/>
            <color indexed="81"/>
            <rFont val="Tahoma"/>
            <family val="2"/>
          </rPr>
          <t xml:space="preserve"> </t>
        </r>
        <r>
          <rPr>
            <sz val="9"/>
            <color indexed="81"/>
            <rFont val="돋움"/>
            <family val="3"/>
            <charset val="129"/>
          </rPr>
          <t>않았다</t>
        </r>
        <r>
          <rPr>
            <sz val="9"/>
            <color indexed="81"/>
            <rFont val="Tahoma"/>
            <family val="2"/>
          </rPr>
          <t>.</t>
        </r>
      </text>
    </comment>
    <comment ref="CJ90" authorId="0" shapeId="0">
      <text>
        <r>
          <rPr>
            <sz val="11"/>
            <color theme="1"/>
            <rFont val="맑은 고딕"/>
            <family val="2"/>
            <charset val="129"/>
            <scheme val="minor"/>
          </rPr>
          <t>Windows 사용자:
정확한 언급이 없음. Total mediastinal LN dissection이라는 표현은 있고 abdomen LN도 harvest가 일부 되긴 했는데 dissection 했다는 말이 없네. Neck LN은 안건드린 듯.</t>
        </r>
      </text>
    </comment>
    <comment ref="DM90" authorId="1" shapeId="0">
      <text>
        <r>
          <rPr>
            <sz val="9"/>
            <color indexed="81"/>
            <rFont val="Tahoma"/>
            <family val="2"/>
          </rPr>
          <t>salvage RT to Lt level VI, 55.8Gy, 2012/3/26-5/9</t>
        </r>
      </text>
    </comment>
    <comment ref="DV9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neck lvl VI</t>
        </r>
        <r>
          <rPr>
            <sz val="9"/>
            <color indexed="81"/>
            <rFont val="돋움"/>
            <family val="3"/>
            <charset val="129"/>
          </rPr>
          <t>라는</t>
        </r>
        <r>
          <rPr>
            <sz val="9"/>
            <color indexed="81"/>
            <rFont val="Tahoma"/>
            <family val="2"/>
          </rPr>
          <t xml:space="preserve"> </t>
        </r>
        <r>
          <rPr>
            <sz val="9"/>
            <color indexed="81"/>
            <rFont val="돋움"/>
            <family val="3"/>
            <charset val="129"/>
          </rPr>
          <t>표현을</t>
        </r>
        <r>
          <rPr>
            <sz val="9"/>
            <color indexed="81"/>
            <rFont val="Tahoma"/>
            <family val="2"/>
          </rPr>
          <t xml:space="preserve"> </t>
        </r>
        <r>
          <rPr>
            <sz val="9"/>
            <color indexed="81"/>
            <rFont val="돋움"/>
            <family val="3"/>
            <charset val="129"/>
          </rPr>
          <t>썼는데</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보기에는</t>
        </r>
        <r>
          <rPr>
            <sz val="9"/>
            <color indexed="81"/>
            <rFont val="Tahoma"/>
            <family val="2"/>
          </rPr>
          <t xml:space="preserve"> 1L</t>
        </r>
        <r>
          <rPr>
            <sz val="9"/>
            <color indexed="81"/>
            <rFont val="돋움"/>
            <family val="3"/>
            <charset val="129"/>
          </rPr>
          <t>로도</t>
        </r>
        <r>
          <rPr>
            <sz val="9"/>
            <color indexed="81"/>
            <rFont val="Tahoma"/>
            <family val="2"/>
          </rPr>
          <t xml:space="preserve"> </t>
        </r>
        <r>
          <rPr>
            <sz val="9"/>
            <color indexed="81"/>
            <rFont val="돋움"/>
            <family val="3"/>
            <charset val="129"/>
          </rPr>
          <t>볼</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같은데</t>
        </r>
        <r>
          <rPr>
            <sz val="9"/>
            <color indexed="81"/>
            <rFont val="Tahoma"/>
            <family val="2"/>
          </rPr>
          <t>.</t>
        </r>
      </text>
    </comment>
    <comment ref="EX9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Neck LN meta</t>
        </r>
        <r>
          <rPr>
            <sz val="9"/>
            <color indexed="81"/>
            <rFont val="돋움"/>
            <family val="3"/>
            <charset val="129"/>
          </rPr>
          <t>가</t>
        </r>
        <r>
          <rPr>
            <sz val="9"/>
            <color indexed="81"/>
            <rFont val="Tahoma"/>
            <family val="2"/>
          </rPr>
          <t xml:space="preserve"> </t>
        </r>
        <r>
          <rPr>
            <sz val="9"/>
            <color indexed="81"/>
            <rFont val="돋움"/>
            <family val="3"/>
            <charset val="129"/>
          </rPr>
          <t>마지막에</t>
        </r>
        <r>
          <rPr>
            <sz val="9"/>
            <color indexed="81"/>
            <rFont val="Tahoma"/>
            <family val="2"/>
          </rPr>
          <t xml:space="preserve"> </t>
        </r>
        <r>
          <rPr>
            <sz val="9"/>
            <color indexed="81"/>
            <rFont val="돋움"/>
            <family val="3"/>
            <charset val="129"/>
          </rPr>
          <t>있던터라</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애매하기는</t>
        </r>
        <r>
          <rPr>
            <sz val="9"/>
            <color indexed="81"/>
            <rFont val="Tahoma"/>
            <family val="2"/>
          </rPr>
          <t xml:space="preserve"> </t>
        </r>
        <r>
          <rPr>
            <sz val="9"/>
            <color indexed="81"/>
            <rFont val="돋움"/>
            <family val="3"/>
            <charset val="129"/>
          </rPr>
          <t>하다</t>
        </r>
        <r>
          <rPr>
            <sz val="9"/>
            <color indexed="81"/>
            <rFont val="Tahoma"/>
            <family val="2"/>
          </rPr>
          <t>.</t>
        </r>
      </text>
    </comment>
    <comment ref="AF9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보기에는</t>
        </r>
        <r>
          <rPr>
            <sz val="9"/>
            <color indexed="81"/>
            <rFont val="Tahoma"/>
            <family val="2"/>
          </rPr>
          <t xml:space="preserve"> Lt SCL metastasis</t>
        </r>
        <r>
          <rPr>
            <sz val="9"/>
            <color indexed="81"/>
            <rFont val="돋움"/>
            <family val="3"/>
            <charset val="129"/>
          </rPr>
          <t>이다</t>
        </r>
        <r>
          <rPr>
            <sz val="9"/>
            <color indexed="81"/>
            <rFont val="Tahoma"/>
            <family val="2"/>
          </rPr>
          <t>.</t>
        </r>
      </text>
    </comment>
    <comment ref="AN9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mediastinal LN</t>
        </r>
        <r>
          <rPr>
            <sz val="9"/>
            <color indexed="81"/>
            <rFont val="돋움"/>
            <family val="3"/>
            <charset val="129"/>
          </rPr>
          <t>과</t>
        </r>
        <r>
          <rPr>
            <sz val="9"/>
            <color indexed="81"/>
            <rFont val="Tahoma"/>
            <family val="2"/>
          </rPr>
          <t xml:space="preserve"> primary mass </t>
        </r>
        <r>
          <rPr>
            <sz val="9"/>
            <color indexed="81"/>
            <rFont val="돋움"/>
            <family val="3"/>
            <charset val="129"/>
          </rPr>
          <t>사이의</t>
        </r>
        <r>
          <rPr>
            <sz val="9"/>
            <color indexed="81"/>
            <rFont val="Tahoma"/>
            <family val="2"/>
          </rPr>
          <t xml:space="preserve"> paraesophageal LN area</t>
        </r>
        <r>
          <rPr>
            <sz val="9"/>
            <color indexed="81"/>
            <rFont val="돋움"/>
            <family val="3"/>
            <charset val="129"/>
          </rPr>
          <t>를</t>
        </r>
        <r>
          <rPr>
            <sz val="9"/>
            <color indexed="81"/>
            <rFont val="Tahoma"/>
            <family val="2"/>
          </rPr>
          <t xml:space="preserve"> </t>
        </r>
        <r>
          <rPr>
            <sz val="9"/>
            <color indexed="81"/>
            <rFont val="돋움"/>
            <family val="3"/>
            <charset val="129"/>
          </rPr>
          <t>모두</t>
        </r>
        <r>
          <rPr>
            <sz val="9"/>
            <color indexed="81"/>
            <rFont val="Tahoma"/>
            <family val="2"/>
          </rPr>
          <t xml:space="preserve"> CTV</t>
        </r>
        <r>
          <rPr>
            <sz val="9"/>
            <color indexed="81"/>
            <rFont val="돋움"/>
            <family val="3"/>
            <charset val="129"/>
          </rPr>
          <t>로</t>
        </r>
        <r>
          <rPr>
            <sz val="9"/>
            <color indexed="81"/>
            <rFont val="Tahoma"/>
            <family val="2"/>
          </rPr>
          <t xml:space="preserve"> </t>
        </r>
        <r>
          <rPr>
            <sz val="9"/>
            <color indexed="81"/>
            <rFont val="돋움"/>
            <family val="3"/>
            <charset val="129"/>
          </rPr>
          <t>포함하였다</t>
        </r>
        <r>
          <rPr>
            <sz val="9"/>
            <color indexed="81"/>
            <rFont val="Tahoma"/>
            <family val="2"/>
          </rPr>
          <t>.</t>
        </r>
      </text>
    </comment>
    <comment ref="BC9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CTV</t>
        </r>
        <r>
          <rPr>
            <sz val="9"/>
            <color indexed="81"/>
            <rFont val="돋움"/>
            <family val="3"/>
            <charset val="129"/>
          </rPr>
          <t>가</t>
        </r>
        <r>
          <rPr>
            <sz val="9"/>
            <color indexed="81"/>
            <rFont val="Tahoma"/>
            <family val="2"/>
          </rPr>
          <t xml:space="preserve"> esophagus</t>
        </r>
        <r>
          <rPr>
            <sz val="9"/>
            <color indexed="81"/>
            <rFont val="돋움"/>
            <family val="3"/>
            <charset val="129"/>
          </rPr>
          <t>를</t>
        </r>
        <r>
          <rPr>
            <sz val="9"/>
            <color indexed="81"/>
            <rFont val="Tahoma"/>
            <family val="2"/>
          </rPr>
          <t xml:space="preserve"> partial</t>
        </r>
        <r>
          <rPr>
            <sz val="9"/>
            <color indexed="81"/>
            <rFont val="돋움"/>
            <family val="3"/>
            <charset val="129"/>
          </rPr>
          <t>로</t>
        </r>
        <r>
          <rPr>
            <sz val="9"/>
            <color indexed="81"/>
            <rFont val="Tahoma"/>
            <family val="2"/>
          </rPr>
          <t xml:space="preserve"> cover</t>
        </r>
        <r>
          <rPr>
            <sz val="9"/>
            <color indexed="81"/>
            <rFont val="돋움"/>
            <family val="3"/>
            <charset val="129"/>
          </rPr>
          <t>하는</t>
        </r>
        <r>
          <rPr>
            <sz val="9"/>
            <color indexed="81"/>
            <rFont val="Tahoma"/>
            <family val="2"/>
          </rPr>
          <t xml:space="preserve"> </t>
        </r>
        <r>
          <rPr>
            <sz val="9"/>
            <color indexed="81"/>
            <rFont val="돋움"/>
            <family val="3"/>
            <charset val="129"/>
          </rPr>
          <t>부분도</t>
        </r>
        <r>
          <rPr>
            <sz val="9"/>
            <color indexed="81"/>
            <rFont val="Tahoma"/>
            <family val="2"/>
          </rPr>
          <t xml:space="preserve"> </t>
        </r>
        <r>
          <rPr>
            <sz val="9"/>
            <color indexed="81"/>
            <rFont val="돋움"/>
            <family val="3"/>
            <charset val="129"/>
          </rPr>
          <t>포함</t>
        </r>
        <r>
          <rPr>
            <sz val="9"/>
            <color indexed="81"/>
            <rFont val="Tahoma"/>
            <family val="2"/>
          </rPr>
          <t>.</t>
        </r>
      </text>
    </comment>
    <comment ref="DI9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DP#1(11.3.19)</t>
        </r>
      </text>
    </comment>
    <comment ref="FU9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eso stenosis s/p PG (2010/9/13)</t>
        </r>
      </text>
    </comment>
    <comment ref="FW9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TEF (2012/6/1 newly appeared TEF)</t>
        </r>
      </text>
    </comment>
    <comment ref="DQ9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혹시</t>
        </r>
        <r>
          <rPr>
            <sz val="9"/>
            <color indexed="81"/>
            <rFont val="Tahoma"/>
            <family val="2"/>
          </rPr>
          <t xml:space="preserve"> lymph node</t>
        </r>
        <r>
          <rPr>
            <sz val="9"/>
            <color indexed="81"/>
            <rFont val="돋움"/>
            <family val="3"/>
            <charset val="129"/>
          </rPr>
          <t>가</t>
        </r>
        <r>
          <rPr>
            <sz val="9"/>
            <color indexed="81"/>
            <rFont val="Tahoma"/>
            <family val="2"/>
          </rPr>
          <t xml:space="preserve"> </t>
        </r>
        <r>
          <rPr>
            <sz val="9"/>
            <color indexed="81"/>
            <rFont val="돋움"/>
            <family val="3"/>
            <charset val="129"/>
          </rPr>
          <t>자라</t>
        </r>
        <r>
          <rPr>
            <sz val="9"/>
            <color indexed="81"/>
            <rFont val="Tahoma"/>
            <family val="2"/>
          </rPr>
          <t xml:space="preserve"> </t>
        </r>
        <r>
          <rPr>
            <sz val="9"/>
            <color indexed="81"/>
            <rFont val="돋움"/>
            <family val="3"/>
            <charset val="129"/>
          </rPr>
          <t>들어온</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아닐까</t>
        </r>
        <r>
          <rPr>
            <sz val="9"/>
            <color indexed="81"/>
            <rFont val="Tahoma"/>
            <family val="2"/>
          </rPr>
          <t xml:space="preserve"> </t>
        </r>
        <r>
          <rPr>
            <sz val="9"/>
            <color indexed="81"/>
            <rFont val="돋움"/>
            <family val="3"/>
            <charset val="129"/>
          </rPr>
          <t>싶지만</t>
        </r>
        <r>
          <rPr>
            <sz val="9"/>
            <color indexed="81"/>
            <rFont val="Tahoma"/>
            <family val="2"/>
          </rPr>
          <t xml:space="preserve"> </t>
        </r>
        <r>
          <rPr>
            <sz val="9"/>
            <color indexed="81"/>
            <rFont val="돋움"/>
            <family val="3"/>
            <charset val="129"/>
          </rPr>
          <t>확실하지는</t>
        </r>
        <r>
          <rPr>
            <sz val="9"/>
            <color indexed="81"/>
            <rFont val="Tahoma"/>
            <family val="2"/>
          </rPr>
          <t xml:space="preserve"> </t>
        </r>
        <r>
          <rPr>
            <sz val="9"/>
            <color indexed="81"/>
            <rFont val="돋움"/>
            <family val="3"/>
            <charset val="129"/>
          </rPr>
          <t>않다</t>
        </r>
        <r>
          <rPr>
            <sz val="9"/>
            <color indexed="81"/>
            <rFont val="Tahoma"/>
            <family val="2"/>
          </rPr>
          <t>.</t>
        </r>
      </text>
    </comment>
    <comment ref="AQ9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솔직히</t>
        </r>
        <r>
          <rPr>
            <sz val="9"/>
            <color indexed="81"/>
            <rFont val="Tahoma"/>
            <family val="2"/>
          </rPr>
          <t xml:space="preserve"> 4.5cm expansion</t>
        </r>
        <r>
          <rPr>
            <sz val="9"/>
            <color indexed="81"/>
            <rFont val="돋움"/>
            <family val="3"/>
            <charset val="129"/>
          </rPr>
          <t>으로</t>
        </r>
        <r>
          <rPr>
            <sz val="9"/>
            <color indexed="81"/>
            <rFont val="Tahoma"/>
            <family val="2"/>
          </rPr>
          <t xml:space="preserve"> </t>
        </r>
        <r>
          <rPr>
            <sz val="9"/>
            <color indexed="81"/>
            <rFont val="돋움"/>
            <family val="3"/>
            <charset val="129"/>
          </rPr>
          <t>인해서</t>
        </r>
        <r>
          <rPr>
            <sz val="9"/>
            <color indexed="81"/>
            <rFont val="Tahoma"/>
            <family val="2"/>
          </rPr>
          <t xml:space="preserve"> </t>
        </r>
        <r>
          <rPr>
            <sz val="9"/>
            <color indexed="81"/>
            <rFont val="돋움"/>
            <family val="3"/>
            <charset val="129"/>
          </rPr>
          <t>정의상</t>
        </r>
        <r>
          <rPr>
            <sz val="9"/>
            <color indexed="81"/>
            <rFont val="Tahoma"/>
            <family val="2"/>
          </rPr>
          <t xml:space="preserve"> </t>
        </r>
        <r>
          <rPr>
            <sz val="9"/>
            <color indexed="81"/>
            <rFont val="돋움"/>
            <family val="3"/>
            <charset val="129"/>
          </rPr>
          <t>이렇게</t>
        </r>
        <r>
          <rPr>
            <sz val="9"/>
            <color indexed="81"/>
            <rFont val="Tahoma"/>
            <family val="2"/>
          </rPr>
          <t xml:space="preserve"> </t>
        </r>
        <r>
          <rPr>
            <sz val="9"/>
            <color indexed="81"/>
            <rFont val="돋움"/>
            <family val="3"/>
            <charset val="129"/>
          </rPr>
          <t>분류된</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같기는</t>
        </r>
        <r>
          <rPr>
            <sz val="9"/>
            <color indexed="81"/>
            <rFont val="Tahoma"/>
            <family val="2"/>
          </rPr>
          <t xml:space="preserve"> </t>
        </r>
        <r>
          <rPr>
            <sz val="9"/>
            <color indexed="81"/>
            <rFont val="돋움"/>
            <family val="3"/>
            <charset val="129"/>
          </rPr>
          <t>하다만</t>
        </r>
        <r>
          <rPr>
            <sz val="9"/>
            <color indexed="81"/>
            <rFont val="Tahoma"/>
            <family val="2"/>
          </rPr>
          <t>.</t>
        </r>
      </text>
    </comment>
    <comment ref="AU9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inferior 2. GEJ involvement</t>
        </r>
        <r>
          <rPr>
            <sz val="9"/>
            <color indexed="81"/>
            <rFont val="돋움"/>
            <family val="3"/>
            <charset val="129"/>
          </rPr>
          <t>를</t>
        </r>
        <r>
          <rPr>
            <sz val="9"/>
            <color indexed="81"/>
            <rFont val="Tahoma"/>
            <family val="2"/>
          </rPr>
          <t xml:space="preserve"> </t>
        </r>
        <r>
          <rPr>
            <sz val="9"/>
            <color indexed="81"/>
            <rFont val="돋움"/>
            <family val="3"/>
            <charset val="129"/>
          </rPr>
          <t>고려함</t>
        </r>
        <r>
          <rPr>
            <sz val="9"/>
            <color indexed="81"/>
            <rFont val="Tahoma"/>
            <family val="2"/>
          </rPr>
          <t>.</t>
        </r>
      </text>
    </comment>
    <comment ref="BD9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CH9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그런데</t>
        </r>
        <r>
          <rPr>
            <sz val="9"/>
            <color indexed="81"/>
            <rFont val="Tahoma"/>
            <family val="2"/>
          </rPr>
          <t xml:space="preserve"> ivor lewis</t>
        </r>
        <r>
          <rPr>
            <sz val="9"/>
            <color indexed="81"/>
            <rFont val="돋움"/>
            <family val="3"/>
            <charset val="129"/>
          </rPr>
          <t>라는</t>
        </r>
        <r>
          <rPr>
            <sz val="9"/>
            <color indexed="81"/>
            <rFont val="Tahoma"/>
            <family val="2"/>
          </rPr>
          <t xml:space="preserve"> </t>
        </r>
        <r>
          <rPr>
            <sz val="9"/>
            <color indexed="81"/>
            <rFont val="돋움"/>
            <family val="3"/>
            <charset val="129"/>
          </rPr>
          <t>기술도</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엉망이다</t>
        </r>
        <r>
          <rPr>
            <sz val="9"/>
            <color indexed="81"/>
            <rFont val="Tahoma"/>
            <family val="2"/>
          </rPr>
          <t>...</t>
        </r>
      </text>
    </comment>
    <comment ref="DM97" authorId="1" shapeId="0">
      <text>
        <r>
          <rPr>
            <sz val="9"/>
            <color indexed="81"/>
            <rFont val="Tahoma"/>
            <family val="2"/>
          </rPr>
          <t>op</t>
        </r>
        <r>
          <rPr>
            <sz val="9"/>
            <color indexed="81"/>
            <rFont val="돋움"/>
            <family val="3"/>
            <charset val="129"/>
          </rPr>
          <t>후</t>
        </r>
        <r>
          <rPr>
            <sz val="9"/>
            <color indexed="81"/>
            <rFont val="Tahoma"/>
            <family val="2"/>
          </rPr>
          <t xml:space="preserve"> tracheogastric fistula &amp; aspiration pneumonia -&gt; ARDS, MOF</t>
        </r>
        <r>
          <rPr>
            <sz val="9"/>
            <color indexed="81"/>
            <rFont val="돋움"/>
            <family val="3"/>
            <charset val="129"/>
          </rPr>
          <t>로</t>
        </r>
        <r>
          <rPr>
            <sz val="9"/>
            <color indexed="81"/>
            <rFont val="Tahoma"/>
            <family val="2"/>
          </rPr>
          <t xml:space="preserve"> 2012/4/17 </t>
        </r>
        <r>
          <rPr>
            <sz val="9"/>
            <color indexed="81"/>
            <rFont val="돋움"/>
            <family val="3"/>
            <charset val="129"/>
          </rPr>
          <t>사망</t>
        </r>
      </text>
    </comment>
    <comment ref="FW9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tracheo-gastric fistula</t>
        </r>
      </text>
    </comment>
    <comment ref="CH9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그런데</t>
        </r>
        <r>
          <rPr>
            <sz val="9"/>
            <color indexed="81"/>
            <rFont val="Tahoma"/>
            <family val="2"/>
          </rPr>
          <t xml:space="preserve"> ivor lewis</t>
        </r>
        <r>
          <rPr>
            <sz val="9"/>
            <color indexed="81"/>
            <rFont val="돋움"/>
            <family val="3"/>
            <charset val="129"/>
          </rPr>
          <t>라는</t>
        </r>
        <r>
          <rPr>
            <sz val="9"/>
            <color indexed="81"/>
            <rFont val="Tahoma"/>
            <family val="2"/>
          </rPr>
          <t xml:space="preserve"> </t>
        </r>
        <r>
          <rPr>
            <sz val="9"/>
            <color indexed="81"/>
            <rFont val="돋움"/>
            <family val="3"/>
            <charset val="129"/>
          </rPr>
          <t>기술도</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엉망이다</t>
        </r>
        <r>
          <rPr>
            <sz val="9"/>
            <color indexed="81"/>
            <rFont val="Tahoma"/>
            <family val="2"/>
          </rPr>
          <t>...</t>
        </r>
      </text>
    </comment>
    <comment ref="DI9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타원에서</t>
        </r>
        <r>
          <rPr>
            <sz val="9"/>
            <color indexed="81"/>
            <rFont val="Tahoma"/>
            <family val="2"/>
          </rPr>
          <t xml:space="preserve"> </t>
        </r>
        <r>
          <rPr>
            <sz val="9"/>
            <color indexed="81"/>
            <rFont val="돋움"/>
            <family val="3"/>
            <charset val="129"/>
          </rPr>
          <t>받으라고</t>
        </r>
        <r>
          <rPr>
            <sz val="9"/>
            <color indexed="81"/>
            <rFont val="Tahoma"/>
            <family val="2"/>
          </rPr>
          <t xml:space="preserve"> </t>
        </r>
        <r>
          <rPr>
            <sz val="9"/>
            <color indexed="81"/>
            <rFont val="돋움"/>
            <family val="3"/>
            <charset val="129"/>
          </rPr>
          <t>보내버렸다</t>
        </r>
        <r>
          <rPr>
            <sz val="9"/>
            <color indexed="81"/>
            <rFont val="Tahoma"/>
            <family val="2"/>
          </rPr>
          <t xml:space="preserve">. </t>
        </r>
        <r>
          <rPr>
            <sz val="9"/>
            <color indexed="81"/>
            <rFont val="돋움"/>
            <family val="3"/>
            <charset val="129"/>
          </rPr>
          <t>본원</t>
        </r>
        <r>
          <rPr>
            <sz val="9"/>
            <color indexed="81"/>
            <rFont val="Tahoma"/>
            <family val="2"/>
          </rPr>
          <t xml:space="preserve"> </t>
        </r>
        <r>
          <rPr>
            <sz val="9"/>
            <color indexed="81"/>
            <rFont val="돋움"/>
            <family val="3"/>
            <charset val="129"/>
          </rPr>
          <t>기록은</t>
        </r>
        <r>
          <rPr>
            <sz val="9"/>
            <color indexed="81"/>
            <rFont val="Tahoma"/>
            <family val="2"/>
          </rPr>
          <t xml:space="preserve"> </t>
        </r>
        <r>
          <rPr>
            <sz val="9"/>
            <color indexed="81"/>
            <rFont val="돋움"/>
            <family val="3"/>
            <charset val="129"/>
          </rPr>
          <t>없다</t>
        </r>
        <r>
          <rPr>
            <sz val="9"/>
            <color indexed="81"/>
            <rFont val="Tahoma"/>
            <family val="2"/>
          </rPr>
          <t>.</t>
        </r>
      </text>
    </comment>
    <comment ref="DM98" authorId="1" shapeId="0">
      <text>
        <r>
          <rPr>
            <sz val="9"/>
            <color indexed="81"/>
            <rFont val="Tahoma"/>
            <family val="2"/>
          </rPr>
          <t xml:space="preserve">2012/4/12 last FU, adj. FP#3 </t>
        </r>
        <r>
          <rPr>
            <sz val="9"/>
            <color indexed="81"/>
            <rFont val="돋움"/>
            <family val="3"/>
            <charset val="129"/>
          </rPr>
          <t>지방가서</t>
        </r>
        <r>
          <rPr>
            <sz val="9"/>
            <color indexed="81"/>
            <rFont val="Tahoma"/>
            <family val="2"/>
          </rPr>
          <t xml:space="preserve"> </t>
        </r>
        <r>
          <rPr>
            <sz val="9"/>
            <color indexed="81"/>
            <rFont val="돋움"/>
            <family val="3"/>
            <charset val="129"/>
          </rPr>
          <t>하기로</t>
        </r>
      </text>
    </comment>
    <comment ref="AN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Field</t>
        </r>
        <r>
          <rPr>
            <sz val="9"/>
            <color indexed="81"/>
            <rFont val="돋움"/>
            <family val="3"/>
            <charset val="129"/>
          </rPr>
          <t>는</t>
        </r>
        <r>
          <rPr>
            <sz val="9"/>
            <color indexed="81"/>
            <rFont val="Tahoma"/>
            <family val="2"/>
          </rPr>
          <t xml:space="preserve"> </t>
        </r>
        <r>
          <rPr>
            <sz val="9"/>
            <color indexed="81"/>
            <rFont val="돋움"/>
            <family val="3"/>
            <charset val="129"/>
          </rPr>
          <t>긴데</t>
        </r>
        <r>
          <rPr>
            <sz val="9"/>
            <color indexed="81"/>
            <rFont val="Tahoma"/>
            <family val="2"/>
          </rPr>
          <t>, metastatic lymph node</t>
        </r>
        <r>
          <rPr>
            <sz val="9"/>
            <color indexed="81"/>
            <rFont val="돋움"/>
            <family val="3"/>
            <charset val="129"/>
          </rPr>
          <t>가</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있던</t>
        </r>
        <r>
          <rPr>
            <sz val="9"/>
            <color indexed="81"/>
            <rFont val="Tahoma"/>
            <family val="2"/>
          </rPr>
          <t xml:space="preserve"> </t>
        </r>
        <r>
          <rPr>
            <sz val="9"/>
            <color indexed="81"/>
            <rFont val="돋움"/>
            <family val="3"/>
            <charset val="129"/>
          </rPr>
          <t>경우라서</t>
        </r>
        <r>
          <rPr>
            <sz val="9"/>
            <color indexed="81"/>
            <rFont val="Tahoma"/>
            <family val="2"/>
          </rPr>
          <t xml:space="preserve"> elective</t>
        </r>
        <r>
          <rPr>
            <sz val="9"/>
            <color indexed="81"/>
            <rFont val="돋움"/>
            <family val="3"/>
            <charset val="129"/>
          </rPr>
          <t>라고</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어렵겠다</t>
        </r>
        <r>
          <rPr>
            <sz val="9"/>
            <color indexed="81"/>
            <rFont val="Tahoma"/>
            <family val="2"/>
          </rPr>
          <t>.</t>
        </r>
      </text>
    </comment>
    <comment ref="BD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r>
          <rPr>
            <sz val="9"/>
            <color indexed="81"/>
            <rFont val="돋움"/>
            <family val="3"/>
            <charset val="129"/>
          </rPr>
          <t>까지</t>
        </r>
      </text>
    </comment>
    <comment ref="DV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LNs (left hilar/interlobar) metastases. </t>
        </r>
        <r>
          <rPr>
            <sz val="9"/>
            <color indexed="81"/>
            <rFont val="돋움"/>
            <family val="3"/>
            <charset val="129"/>
          </rPr>
          <t>여기까지</t>
        </r>
        <r>
          <rPr>
            <sz val="9"/>
            <color indexed="81"/>
            <rFont val="Tahoma"/>
            <family val="2"/>
          </rPr>
          <t xml:space="preserve"> field </t>
        </r>
        <r>
          <rPr>
            <sz val="9"/>
            <color indexed="81"/>
            <rFont val="돋움"/>
            <family val="3"/>
            <charset val="129"/>
          </rPr>
          <t>내로</t>
        </r>
        <r>
          <rPr>
            <sz val="9"/>
            <color indexed="81"/>
            <rFont val="Tahoma"/>
            <family val="2"/>
          </rPr>
          <t xml:space="preserve"> </t>
        </r>
        <r>
          <rPr>
            <sz val="9"/>
            <color indexed="81"/>
            <rFont val="돋움"/>
            <family val="3"/>
            <charset val="129"/>
          </rPr>
          <t>포함되지는</t>
        </r>
        <r>
          <rPr>
            <sz val="9"/>
            <color indexed="81"/>
            <rFont val="Tahoma"/>
            <family val="2"/>
          </rPr>
          <t xml:space="preserve"> </t>
        </r>
        <r>
          <rPr>
            <sz val="9"/>
            <color indexed="81"/>
            <rFont val="돋움"/>
            <family val="3"/>
            <charset val="129"/>
          </rPr>
          <t>않았다</t>
        </r>
        <r>
          <rPr>
            <sz val="9"/>
            <color indexed="81"/>
            <rFont val="Tahoma"/>
            <family val="2"/>
          </rPr>
          <t xml:space="preserve">. </t>
        </r>
        <r>
          <rPr>
            <sz val="9"/>
            <color indexed="81"/>
            <rFont val="돋움"/>
            <family val="3"/>
            <charset val="129"/>
          </rPr>
          <t>사실</t>
        </r>
        <r>
          <rPr>
            <sz val="9"/>
            <color indexed="81"/>
            <rFont val="Tahoma"/>
            <family val="2"/>
          </rPr>
          <t xml:space="preserve"> regional LN</t>
        </r>
        <r>
          <rPr>
            <sz val="9"/>
            <color indexed="81"/>
            <rFont val="돋움"/>
            <family val="3"/>
            <charset val="129"/>
          </rPr>
          <t>으로</t>
        </r>
        <r>
          <rPr>
            <sz val="9"/>
            <color indexed="81"/>
            <rFont val="Tahoma"/>
            <family val="2"/>
          </rPr>
          <t xml:space="preserve"> </t>
        </r>
        <r>
          <rPr>
            <sz val="9"/>
            <color indexed="81"/>
            <rFont val="돋움"/>
            <family val="3"/>
            <charset val="129"/>
          </rPr>
          <t>보는게</t>
        </r>
        <r>
          <rPr>
            <sz val="9"/>
            <color indexed="81"/>
            <rFont val="Tahoma"/>
            <family val="2"/>
          </rPr>
          <t xml:space="preserve"> </t>
        </r>
        <r>
          <rPr>
            <sz val="9"/>
            <color indexed="81"/>
            <rFont val="돋움"/>
            <family val="3"/>
            <charset val="129"/>
          </rPr>
          <t>맞는지아닌지도</t>
        </r>
        <r>
          <rPr>
            <sz val="9"/>
            <color indexed="81"/>
            <rFont val="Tahoma"/>
            <family val="2"/>
          </rPr>
          <t xml:space="preserve"> </t>
        </r>
        <r>
          <rPr>
            <sz val="9"/>
            <color indexed="81"/>
            <rFont val="돋움"/>
            <family val="3"/>
            <charset val="129"/>
          </rPr>
          <t>모르겠네</t>
        </r>
        <r>
          <rPr>
            <sz val="9"/>
            <color indexed="81"/>
            <rFont val="Tahoma"/>
            <family val="2"/>
          </rPr>
          <t>.</t>
        </r>
      </text>
    </comment>
    <comment ref="FU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s/p balloon dilatation (2012/11/12)</t>
        </r>
      </text>
    </comment>
    <comment ref="AN10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text>
    </comment>
    <comment ref="FW10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영상</t>
        </r>
        <r>
          <rPr>
            <sz val="9"/>
            <color indexed="81"/>
            <rFont val="Tahoma"/>
            <family val="2"/>
          </rPr>
          <t xml:space="preserve"> </t>
        </r>
        <r>
          <rPr>
            <sz val="9"/>
            <color indexed="81"/>
            <rFont val="돋움"/>
            <family val="3"/>
            <charset val="129"/>
          </rPr>
          <t>상에서</t>
        </r>
        <r>
          <rPr>
            <sz val="9"/>
            <color indexed="81"/>
            <rFont val="Tahoma"/>
            <family val="2"/>
          </rPr>
          <t xml:space="preserve"> fistula</t>
        </r>
        <r>
          <rPr>
            <sz val="9"/>
            <color indexed="81"/>
            <rFont val="돋움"/>
            <family val="3"/>
            <charset val="129"/>
          </rPr>
          <t>가</t>
        </r>
        <r>
          <rPr>
            <sz val="9"/>
            <color indexed="81"/>
            <rFont val="Tahoma"/>
            <family val="2"/>
          </rPr>
          <t xml:space="preserve"> </t>
        </r>
        <r>
          <rPr>
            <sz val="9"/>
            <color indexed="81"/>
            <rFont val="돋움"/>
            <family val="3"/>
            <charset val="129"/>
          </rPr>
          <t>언급되지</t>
        </r>
        <r>
          <rPr>
            <sz val="9"/>
            <color indexed="81"/>
            <rFont val="Tahoma"/>
            <family val="2"/>
          </rPr>
          <t xml:space="preserve"> </t>
        </r>
        <r>
          <rPr>
            <sz val="9"/>
            <color indexed="81"/>
            <rFont val="돋움"/>
            <family val="3"/>
            <charset val="129"/>
          </rPr>
          <t>않은건</t>
        </r>
        <r>
          <rPr>
            <sz val="9"/>
            <color indexed="81"/>
            <rFont val="Tahoma"/>
            <family val="2"/>
          </rPr>
          <t xml:space="preserve"> </t>
        </r>
        <r>
          <rPr>
            <sz val="9"/>
            <color indexed="81"/>
            <rFont val="돋움"/>
            <family val="3"/>
            <charset val="129"/>
          </rPr>
          <t>아닌데</t>
        </r>
        <r>
          <rPr>
            <sz val="9"/>
            <color indexed="81"/>
            <rFont val="Tahoma"/>
            <family val="2"/>
          </rPr>
          <t>, disease progression</t>
        </r>
        <r>
          <rPr>
            <sz val="9"/>
            <color indexed="81"/>
            <rFont val="돋움"/>
            <family val="3"/>
            <charset val="129"/>
          </rPr>
          <t>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것이다</t>
        </r>
        <r>
          <rPr>
            <sz val="9"/>
            <color indexed="81"/>
            <rFont val="Tahoma"/>
            <family val="2"/>
          </rPr>
          <t xml:space="preserve">. 2014/10/11 CT </t>
        </r>
        <r>
          <rPr>
            <sz val="9"/>
            <color indexed="81"/>
            <rFont val="돋움"/>
            <family val="3"/>
            <charset val="129"/>
          </rPr>
          <t>상에서</t>
        </r>
        <r>
          <rPr>
            <sz val="9"/>
            <color indexed="81"/>
            <rFont val="Tahoma"/>
            <family val="2"/>
          </rPr>
          <t xml:space="preserve"> 2L </t>
        </r>
        <r>
          <rPr>
            <sz val="9"/>
            <color indexed="81"/>
            <rFont val="돋움"/>
            <family val="3"/>
            <charset val="129"/>
          </rPr>
          <t>내에</t>
        </r>
        <r>
          <rPr>
            <sz val="9"/>
            <color indexed="81"/>
            <rFont val="Tahoma"/>
            <family val="2"/>
          </rPr>
          <t xml:space="preserve"> air</t>
        </r>
        <r>
          <rPr>
            <sz val="9"/>
            <color indexed="81"/>
            <rFont val="돋움"/>
            <family val="3"/>
            <charset val="129"/>
          </rPr>
          <t>이</t>
        </r>
        <r>
          <rPr>
            <sz val="9"/>
            <color indexed="81"/>
            <rFont val="Tahoma"/>
            <family val="2"/>
          </rPr>
          <t xml:space="preserve"> </t>
        </r>
        <r>
          <rPr>
            <sz val="9"/>
            <color indexed="81"/>
            <rFont val="돋움"/>
            <family val="3"/>
            <charset val="129"/>
          </rPr>
          <t>있어서</t>
        </r>
        <r>
          <rPr>
            <sz val="9"/>
            <color indexed="81"/>
            <rFont val="Tahoma"/>
            <family val="2"/>
          </rPr>
          <t xml:space="preserve"> esophagus</t>
        </r>
        <r>
          <rPr>
            <sz val="9"/>
            <color indexed="81"/>
            <rFont val="돋움"/>
            <family val="3"/>
            <charset val="129"/>
          </rPr>
          <t>와</t>
        </r>
        <r>
          <rPr>
            <sz val="9"/>
            <color indexed="81"/>
            <rFont val="Tahoma"/>
            <family val="2"/>
          </rPr>
          <t xml:space="preserve"> fistula </t>
        </r>
        <r>
          <rPr>
            <sz val="9"/>
            <color indexed="81"/>
            <rFont val="돋움"/>
            <family val="3"/>
            <charset val="129"/>
          </rPr>
          <t>가능성</t>
        </r>
        <r>
          <rPr>
            <sz val="9"/>
            <color indexed="81"/>
            <rFont val="Tahoma"/>
            <family val="2"/>
          </rPr>
          <t xml:space="preserve"> </t>
        </r>
        <r>
          <rPr>
            <sz val="9"/>
            <color indexed="81"/>
            <rFont val="돋움"/>
            <family val="3"/>
            <charset val="129"/>
          </rPr>
          <t>언급됨</t>
        </r>
        <r>
          <rPr>
            <sz val="9"/>
            <color indexed="81"/>
            <rFont val="Tahoma"/>
            <family val="2"/>
          </rPr>
          <t>.</t>
        </r>
      </text>
    </comment>
    <comment ref="AO10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다만</t>
        </r>
        <r>
          <rPr>
            <sz val="9"/>
            <color indexed="81"/>
            <rFont val="Tahoma"/>
            <family val="2"/>
          </rPr>
          <t xml:space="preserve"> "2R"</t>
        </r>
        <r>
          <rPr>
            <sz val="9"/>
            <color indexed="81"/>
            <rFont val="돋움"/>
            <family val="3"/>
            <charset val="129"/>
          </rPr>
          <t>과</t>
        </r>
        <r>
          <rPr>
            <sz val="9"/>
            <color indexed="81"/>
            <rFont val="Tahoma"/>
            <family val="2"/>
          </rPr>
          <t xml:space="preserve"> SCL</t>
        </r>
        <r>
          <rPr>
            <sz val="9"/>
            <color indexed="81"/>
            <rFont val="돋움"/>
            <family val="3"/>
            <charset val="129"/>
          </rPr>
          <t>이</t>
        </r>
        <r>
          <rPr>
            <sz val="9"/>
            <color indexed="81"/>
            <rFont val="Tahoma"/>
            <family val="2"/>
          </rPr>
          <t xml:space="preserve"> </t>
        </r>
        <r>
          <rPr>
            <sz val="9"/>
            <color indexed="81"/>
            <rFont val="돋움"/>
            <family val="3"/>
            <charset val="129"/>
          </rPr>
          <t>가까웠기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치료</t>
        </r>
        <r>
          <rPr>
            <sz val="9"/>
            <color indexed="81"/>
            <rFont val="Tahoma"/>
            <family val="2"/>
          </rPr>
          <t xml:space="preserve"> </t>
        </r>
        <r>
          <rPr>
            <sz val="9"/>
            <color indexed="81"/>
            <rFont val="돋움"/>
            <family val="3"/>
            <charset val="129"/>
          </rPr>
          <t>범위</t>
        </r>
        <r>
          <rPr>
            <sz val="9"/>
            <color indexed="81"/>
            <rFont val="Tahoma"/>
            <family val="2"/>
          </rPr>
          <t xml:space="preserve"> </t>
        </r>
        <r>
          <rPr>
            <sz val="9"/>
            <color indexed="81"/>
            <rFont val="돋움"/>
            <family val="3"/>
            <charset val="129"/>
          </rPr>
          <t>내에</t>
        </r>
        <r>
          <rPr>
            <sz val="9"/>
            <color indexed="81"/>
            <rFont val="Tahoma"/>
            <family val="2"/>
          </rPr>
          <t xml:space="preserve"> Rt SCL</t>
        </r>
        <r>
          <rPr>
            <sz val="9"/>
            <color indexed="81"/>
            <rFont val="돋움"/>
            <family val="3"/>
            <charset val="129"/>
          </rPr>
          <t>은</t>
        </r>
        <r>
          <rPr>
            <sz val="9"/>
            <color indexed="81"/>
            <rFont val="Tahoma"/>
            <family val="2"/>
          </rPr>
          <t xml:space="preserve"> </t>
        </r>
        <r>
          <rPr>
            <sz val="9"/>
            <color indexed="81"/>
            <rFont val="돋움"/>
            <family val="3"/>
            <charset val="129"/>
          </rPr>
          <t>포함되어</t>
        </r>
        <r>
          <rPr>
            <sz val="9"/>
            <color indexed="81"/>
            <rFont val="Tahoma"/>
            <family val="2"/>
          </rPr>
          <t xml:space="preserve"> </t>
        </r>
        <r>
          <rPr>
            <sz val="9"/>
            <color indexed="81"/>
            <rFont val="돋움"/>
            <family val="3"/>
            <charset val="129"/>
          </rPr>
          <t>있다</t>
        </r>
        <r>
          <rPr>
            <sz val="9"/>
            <color indexed="81"/>
            <rFont val="Tahoma"/>
            <family val="2"/>
          </rPr>
          <t>.</t>
        </r>
      </text>
    </comment>
    <comment ref="BC10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위쪽은</t>
        </r>
        <r>
          <rPr>
            <sz val="9"/>
            <color indexed="81"/>
            <rFont val="Tahoma"/>
            <family val="2"/>
          </rPr>
          <t xml:space="preserve"> </t>
        </r>
        <r>
          <rPr>
            <sz val="9"/>
            <color indexed="81"/>
            <rFont val="돋움"/>
            <family val="3"/>
            <charset val="129"/>
          </rPr>
          <t>다소</t>
        </r>
        <r>
          <rPr>
            <sz val="9"/>
            <color indexed="81"/>
            <rFont val="Tahoma"/>
            <family val="2"/>
          </rPr>
          <t xml:space="preserve"> partial coverage</t>
        </r>
      </text>
    </comment>
    <comment ref="AF10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SCL</t>
        </r>
      </text>
    </comment>
    <comment ref="AZ10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 0.7
node: 0.5</t>
        </r>
      </text>
    </comment>
    <comment ref="BD10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정의랑</t>
        </r>
        <r>
          <rPr>
            <sz val="9"/>
            <color indexed="81"/>
            <rFont val="Tahoma"/>
            <family val="2"/>
          </rPr>
          <t xml:space="preserve"> </t>
        </r>
        <r>
          <rPr>
            <sz val="9"/>
            <color indexed="81"/>
            <rFont val="돋움"/>
            <family val="3"/>
            <charset val="129"/>
          </rPr>
          <t>약간</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같은데</t>
        </r>
        <r>
          <rPr>
            <sz val="9"/>
            <color indexed="81"/>
            <rFont val="Tahoma"/>
            <family val="2"/>
          </rPr>
          <t>...</t>
        </r>
      </text>
    </comment>
    <comment ref="CD103" authorId="1" shapeId="0">
      <text>
        <r>
          <rPr>
            <b/>
            <sz val="9"/>
            <color indexed="81"/>
            <rFont val="Tahoma"/>
            <family val="2"/>
          </rPr>
          <t>SNUH:</t>
        </r>
        <r>
          <rPr>
            <sz val="9"/>
            <color indexed="81"/>
            <rFont val="Tahoma"/>
            <family val="2"/>
          </rPr>
          <t xml:space="preserve">
"Markedly decreased extent and metabolism of known esophageal cancer, no demonstrable residual hypermetabolic focus"
SUV </t>
        </r>
        <r>
          <rPr>
            <sz val="9"/>
            <color indexed="81"/>
            <rFont val="돋움"/>
            <family val="3"/>
            <charset val="129"/>
          </rPr>
          <t>보고하지</t>
        </r>
        <r>
          <rPr>
            <sz val="9"/>
            <color indexed="81"/>
            <rFont val="Tahoma"/>
            <family val="2"/>
          </rPr>
          <t xml:space="preserve"> </t>
        </r>
        <r>
          <rPr>
            <sz val="9"/>
            <color indexed="81"/>
            <rFont val="돋움"/>
            <family val="3"/>
            <charset val="129"/>
          </rPr>
          <t>않음</t>
        </r>
        <r>
          <rPr>
            <sz val="9"/>
            <color indexed="81"/>
            <rFont val="Tahoma"/>
            <family val="2"/>
          </rPr>
          <t>.</t>
        </r>
      </text>
    </comment>
    <comment ref="FU10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Scope </t>
        </r>
        <r>
          <rPr>
            <sz val="9"/>
            <color indexed="81"/>
            <rFont val="돋움"/>
            <family val="3"/>
            <charset val="129"/>
          </rPr>
          <t>삽입</t>
        </r>
        <r>
          <rPr>
            <sz val="9"/>
            <color indexed="81"/>
            <rFont val="Tahoma"/>
            <family val="2"/>
          </rPr>
          <t xml:space="preserve"> </t>
        </r>
        <r>
          <rPr>
            <sz val="9"/>
            <color indexed="81"/>
            <rFont val="돋움"/>
            <family val="3"/>
            <charset val="129"/>
          </rPr>
          <t>불가할</t>
        </r>
        <r>
          <rPr>
            <sz val="9"/>
            <color indexed="81"/>
            <rFont val="Tahoma"/>
            <family val="2"/>
          </rPr>
          <t xml:space="preserve"> </t>
        </r>
        <r>
          <rPr>
            <sz val="9"/>
            <color indexed="81"/>
            <rFont val="돋움"/>
            <family val="3"/>
            <charset val="129"/>
          </rPr>
          <t>수준의</t>
        </r>
        <r>
          <rPr>
            <sz val="9"/>
            <color indexed="81"/>
            <rFont val="Tahoma"/>
            <family val="2"/>
          </rPr>
          <t xml:space="preserve"> stricture</t>
        </r>
        <r>
          <rPr>
            <sz val="9"/>
            <color indexed="81"/>
            <rFont val="돋움"/>
            <family val="3"/>
            <charset val="129"/>
          </rPr>
          <t>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것으로</t>
        </r>
        <r>
          <rPr>
            <sz val="9"/>
            <color indexed="81"/>
            <rFont val="Tahoma"/>
            <family val="2"/>
          </rPr>
          <t xml:space="preserve"> </t>
        </r>
        <r>
          <rPr>
            <sz val="9"/>
            <color indexed="81"/>
            <rFont val="돋움"/>
            <family val="3"/>
            <charset val="129"/>
          </rPr>
          <t>보임</t>
        </r>
        <r>
          <rPr>
            <sz val="9"/>
            <color indexed="81"/>
            <rFont val="Tahoma"/>
            <family val="2"/>
          </rPr>
          <t xml:space="preserve">. </t>
        </r>
        <r>
          <rPr>
            <sz val="9"/>
            <color indexed="81"/>
            <rFont val="돋움"/>
            <family val="3"/>
            <charset val="129"/>
          </rPr>
          <t>다만</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환자는</t>
        </r>
        <r>
          <rPr>
            <sz val="9"/>
            <color indexed="81"/>
            <rFont val="Tahoma"/>
            <family val="2"/>
          </rPr>
          <t xml:space="preserve"> balloon dilatation</t>
        </r>
        <r>
          <rPr>
            <sz val="9"/>
            <color indexed="81"/>
            <rFont val="돋움"/>
            <family val="3"/>
            <charset val="129"/>
          </rPr>
          <t>은</t>
        </r>
        <r>
          <rPr>
            <sz val="9"/>
            <color indexed="81"/>
            <rFont val="Tahoma"/>
            <family val="2"/>
          </rPr>
          <t xml:space="preserve"> </t>
        </r>
        <r>
          <rPr>
            <sz val="9"/>
            <color indexed="81"/>
            <rFont val="돋움"/>
            <family val="3"/>
            <charset val="129"/>
          </rPr>
          <t>실시하지</t>
        </r>
        <r>
          <rPr>
            <sz val="9"/>
            <color indexed="81"/>
            <rFont val="Tahoma"/>
            <family val="2"/>
          </rPr>
          <t xml:space="preserve"> </t>
        </r>
        <r>
          <rPr>
            <sz val="9"/>
            <color indexed="81"/>
            <rFont val="돋움"/>
            <family val="3"/>
            <charset val="129"/>
          </rPr>
          <t>않았다</t>
        </r>
        <r>
          <rPr>
            <sz val="9"/>
            <color indexed="81"/>
            <rFont val="Tahoma"/>
            <family val="2"/>
          </rPr>
          <t>.</t>
        </r>
      </text>
    </comment>
    <comment ref="AN10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lower mediastinum, </t>
        </r>
        <r>
          <rPr>
            <sz val="9"/>
            <color indexed="81"/>
            <rFont val="돋움"/>
            <family val="3"/>
            <charset val="129"/>
          </rPr>
          <t>왜냐하면</t>
        </r>
        <r>
          <rPr>
            <sz val="9"/>
            <color indexed="81"/>
            <rFont val="Tahoma"/>
            <family val="2"/>
          </rPr>
          <t xml:space="preserve"> lower mediastinal LN involvement</t>
        </r>
        <r>
          <rPr>
            <sz val="9"/>
            <color indexed="81"/>
            <rFont val="돋움"/>
            <family val="3"/>
            <charset val="129"/>
          </rPr>
          <t>가</t>
        </r>
        <r>
          <rPr>
            <sz val="9"/>
            <color indexed="81"/>
            <rFont val="Tahoma"/>
            <family val="2"/>
          </rPr>
          <t xml:space="preserve"> </t>
        </r>
        <r>
          <rPr>
            <sz val="9"/>
            <color indexed="81"/>
            <rFont val="돋움"/>
            <family val="3"/>
            <charset val="129"/>
          </rPr>
          <t>있었기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사이에</t>
        </r>
        <r>
          <rPr>
            <sz val="9"/>
            <color indexed="81"/>
            <rFont val="Tahoma"/>
            <family val="2"/>
          </rPr>
          <t xml:space="preserve"> </t>
        </r>
        <r>
          <rPr>
            <sz val="9"/>
            <color indexed="81"/>
            <rFont val="돋움"/>
            <family val="3"/>
            <charset val="129"/>
          </rPr>
          <t>모두</t>
        </r>
        <r>
          <rPr>
            <sz val="9"/>
            <color indexed="81"/>
            <rFont val="Tahoma"/>
            <family val="2"/>
          </rPr>
          <t xml:space="preserve"> elective </t>
        </r>
        <r>
          <rPr>
            <sz val="9"/>
            <color indexed="81"/>
            <rFont val="돋움"/>
            <family val="3"/>
            <charset val="129"/>
          </rPr>
          <t>치료</t>
        </r>
        <r>
          <rPr>
            <sz val="9"/>
            <color indexed="81"/>
            <rFont val="Tahoma"/>
            <family val="2"/>
          </rPr>
          <t>.</t>
        </r>
      </text>
    </comment>
    <comment ref="BD10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 Multiple lesion</t>
        </r>
      </text>
    </comment>
    <comment ref="T10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upper/middle</t>
        </r>
        <r>
          <rPr>
            <sz val="9"/>
            <color indexed="81"/>
            <rFont val="돋움"/>
            <family val="3"/>
            <charset val="129"/>
          </rPr>
          <t>로도</t>
        </r>
        <r>
          <rPr>
            <sz val="9"/>
            <color indexed="81"/>
            <rFont val="Tahoma"/>
            <family val="2"/>
          </rPr>
          <t xml:space="preserve"> </t>
        </r>
        <r>
          <rPr>
            <sz val="9"/>
            <color indexed="81"/>
            <rFont val="돋움"/>
            <family val="3"/>
            <charset val="129"/>
          </rPr>
          <t>볼</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같고</t>
        </r>
      </text>
    </comment>
    <comment ref="AD10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PET</t>
        </r>
        <r>
          <rPr>
            <sz val="9"/>
            <color indexed="81"/>
            <rFont val="돋움"/>
            <family val="3"/>
            <charset val="129"/>
          </rPr>
          <t>에서</t>
        </r>
        <r>
          <rPr>
            <sz val="9"/>
            <color indexed="81"/>
            <rFont val="Tahoma"/>
            <family val="2"/>
          </rPr>
          <t xml:space="preserve"> </t>
        </r>
        <r>
          <rPr>
            <sz val="9"/>
            <color indexed="81"/>
            <rFont val="돋움"/>
            <family val="3"/>
            <charset val="129"/>
          </rPr>
          <t>말하는</t>
        </r>
        <r>
          <rPr>
            <sz val="9"/>
            <color indexed="81"/>
            <rFont val="Tahoma"/>
            <family val="2"/>
          </rPr>
          <t xml:space="preserve"> Lt SCN</t>
        </r>
        <r>
          <rPr>
            <sz val="9"/>
            <color indexed="81"/>
            <rFont val="돋움"/>
            <family val="3"/>
            <charset val="129"/>
          </rPr>
          <t>은</t>
        </r>
        <r>
          <rPr>
            <sz val="9"/>
            <color indexed="81"/>
            <rFont val="Tahoma"/>
            <family val="2"/>
          </rPr>
          <t xml:space="preserve"> Lt uppermost para-esophageal</t>
        </r>
        <r>
          <rPr>
            <sz val="9"/>
            <color indexed="81"/>
            <rFont val="돋움"/>
            <family val="3"/>
            <charset val="129"/>
          </rPr>
          <t>로도</t>
        </r>
        <r>
          <rPr>
            <sz val="9"/>
            <color indexed="81"/>
            <rFont val="Tahoma"/>
            <family val="2"/>
          </rPr>
          <t xml:space="preserve"> </t>
        </r>
        <r>
          <rPr>
            <sz val="9"/>
            <color indexed="81"/>
            <rFont val="돋움"/>
            <family val="3"/>
            <charset val="129"/>
          </rPr>
          <t>볼</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같고</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아니라고</t>
        </r>
        <r>
          <rPr>
            <sz val="9"/>
            <color indexed="81"/>
            <rFont val="Tahoma"/>
            <family val="2"/>
          </rPr>
          <t xml:space="preserve"> </t>
        </r>
        <r>
          <rPr>
            <sz val="9"/>
            <color indexed="81"/>
            <rFont val="돋움"/>
            <family val="3"/>
            <charset val="129"/>
          </rPr>
          <t>봤던건지</t>
        </r>
        <r>
          <rPr>
            <sz val="9"/>
            <color indexed="81"/>
            <rFont val="Tahoma"/>
            <family val="2"/>
          </rPr>
          <t xml:space="preserve"> RT field</t>
        </r>
        <r>
          <rPr>
            <sz val="9"/>
            <color indexed="81"/>
            <rFont val="돋움"/>
            <family val="3"/>
            <charset val="129"/>
          </rPr>
          <t>에</t>
        </r>
        <r>
          <rPr>
            <sz val="9"/>
            <color indexed="81"/>
            <rFont val="Tahoma"/>
            <family val="2"/>
          </rPr>
          <t xml:space="preserve"> </t>
        </r>
        <r>
          <rPr>
            <sz val="9"/>
            <color indexed="81"/>
            <rFont val="돋움"/>
            <family val="3"/>
            <charset val="129"/>
          </rPr>
          <t>포함</t>
        </r>
        <r>
          <rPr>
            <sz val="9"/>
            <color indexed="81"/>
            <rFont val="Tahoma"/>
            <family val="2"/>
          </rPr>
          <t xml:space="preserve"> </t>
        </r>
        <r>
          <rPr>
            <sz val="9"/>
            <color indexed="81"/>
            <rFont val="돋움"/>
            <family val="3"/>
            <charset val="129"/>
          </rPr>
          <t>안됬던데</t>
        </r>
      </text>
    </comment>
    <comment ref="AX10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GTV</t>
        </r>
        <r>
          <rPr>
            <sz val="9"/>
            <color indexed="81"/>
            <rFont val="돋움"/>
            <family val="3"/>
            <charset val="129"/>
          </rPr>
          <t>에서</t>
        </r>
        <r>
          <rPr>
            <sz val="9"/>
            <color indexed="81"/>
            <rFont val="Tahoma"/>
            <family val="2"/>
          </rPr>
          <t xml:space="preserve"> PTV</t>
        </r>
        <r>
          <rPr>
            <sz val="9"/>
            <color indexed="81"/>
            <rFont val="돋움"/>
            <family val="3"/>
            <charset val="129"/>
          </rPr>
          <t>로</t>
        </r>
        <r>
          <rPr>
            <sz val="9"/>
            <color indexed="81"/>
            <rFont val="Tahoma"/>
            <family val="2"/>
          </rPr>
          <t xml:space="preserve"> </t>
        </r>
        <r>
          <rPr>
            <sz val="9"/>
            <color indexed="81"/>
            <rFont val="돋움"/>
            <family val="3"/>
            <charset val="129"/>
          </rPr>
          <t>바로</t>
        </r>
        <r>
          <rPr>
            <sz val="9"/>
            <color indexed="81"/>
            <rFont val="Tahoma"/>
            <family val="2"/>
          </rPr>
          <t xml:space="preserve"> expansion</t>
        </r>
        <r>
          <rPr>
            <sz val="9"/>
            <color indexed="81"/>
            <rFont val="돋움"/>
            <family val="3"/>
            <charset val="129"/>
          </rPr>
          <t>을</t>
        </r>
        <r>
          <rPr>
            <sz val="9"/>
            <color indexed="81"/>
            <rFont val="Tahoma"/>
            <family val="2"/>
          </rPr>
          <t xml:space="preserve"> </t>
        </r>
        <r>
          <rPr>
            <sz val="9"/>
            <color indexed="81"/>
            <rFont val="돋움"/>
            <family val="3"/>
            <charset val="129"/>
          </rPr>
          <t>시행한</t>
        </r>
        <r>
          <rPr>
            <sz val="9"/>
            <color indexed="81"/>
            <rFont val="Tahoma"/>
            <family val="2"/>
          </rPr>
          <t xml:space="preserve"> </t>
        </r>
        <r>
          <rPr>
            <sz val="9"/>
            <color indexed="81"/>
            <rFont val="돋움"/>
            <family val="3"/>
            <charset val="129"/>
          </rPr>
          <t>것이다</t>
        </r>
        <r>
          <rPr>
            <sz val="9"/>
            <color indexed="81"/>
            <rFont val="Tahoma"/>
            <family val="2"/>
          </rPr>
          <t>.</t>
        </r>
      </text>
    </comment>
    <comment ref="AF10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lung</t>
        </r>
      </text>
    </comment>
    <comment ref="AX10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주의</t>
        </r>
        <r>
          <rPr>
            <sz val="9"/>
            <color indexed="81"/>
            <rFont val="Tahoma"/>
            <family val="2"/>
          </rPr>
          <t>: GTV</t>
        </r>
        <r>
          <rPr>
            <sz val="9"/>
            <color indexed="81"/>
            <rFont val="돋움"/>
            <family val="3"/>
            <charset val="129"/>
          </rPr>
          <t>에서</t>
        </r>
        <r>
          <rPr>
            <sz val="9"/>
            <color indexed="81"/>
            <rFont val="Tahoma"/>
            <family val="2"/>
          </rPr>
          <t xml:space="preserve"> </t>
        </r>
        <r>
          <rPr>
            <sz val="9"/>
            <color indexed="81"/>
            <rFont val="돋움"/>
            <family val="3"/>
            <charset val="129"/>
          </rPr>
          <t>바로</t>
        </r>
        <r>
          <rPr>
            <sz val="9"/>
            <color indexed="81"/>
            <rFont val="Tahoma"/>
            <family val="2"/>
          </rPr>
          <t xml:space="preserve"> PTV </t>
        </r>
        <r>
          <rPr>
            <sz val="9"/>
            <color indexed="81"/>
            <rFont val="돋움"/>
            <family val="3"/>
            <charset val="129"/>
          </rPr>
          <t>만든것임</t>
        </r>
        <r>
          <rPr>
            <sz val="9"/>
            <color indexed="81"/>
            <rFont val="Tahoma"/>
            <family val="2"/>
          </rPr>
          <t>.</t>
        </r>
      </text>
    </comment>
    <comment ref="CF10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추가적으로</t>
        </r>
        <r>
          <rPr>
            <sz val="9"/>
            <color indexed="81"/>
            <rFont val="Tahoma"/>
            <family val="2"/>
          </rPr>
          <t>, 2013/4/5</t>
        </r>
        <r>
          <rPr>
            <sz val="9"/>
            <color indexed="81"/>
            <rFont val="돋움"/>
            <family val="3"/>
            <charset val="129"/>
          </rPr>
          <t>에</t>
        </r>
        <r>
          <rPr>
            <sz val="9"/>
            <color indexed="81"/>
            <rFont val="Tahoma"/>
            <family val="2"/>
          </rPr>
          <t xml:space="preserve"> lung nodule</t>
        </r>
        <r>
          <rPr>
            <sz val="9"/>
            <color indexed="81"/>
            <rFont val="돋움"/>
            <family val="3"/>
            <charset val="129"/>
          </rPr>
          <t>에</t>
        </r>
        <r>
          <rPr>
            <sz val="9"/>
            <color indexed="81"/>
            <rFont val="Tahoma"/>
            <family val="2"/>
          </rPr>
          <t xml:space="preserve"> </t>
        </r>
        <r>
          <rPr>
            <sz val="9"/>
            <color indexed="81"/>
            <rFont val="돋움"/>
            <family val="3"/>
            <charset val="129"/>
          </rPr>
          <t>대해서는</t>
        </r>
        <r>
          <rPr>
            <sz val="9"/>
            <color indexed="81"/>
            <rFont val="Tahoma"/>
            <family val="2"/>
          </rPr>
          <t xml:space="preserve"> wedge resection </t>
        </r>
        <r>
          <rPr>
            <sz val="9"/>
            <color indexed="81"/>
            <rFont val="돋움"/>
            <family val="3"/>
            <charset val="129"/>
          </rPr>
          <t>시행했고</t>
        </r>
        <r>
          <rPr>
            <sz val="9"/>
            <color indexed="81"/>
            <rFont val="Tahoma"/>
            <family val="2"/>
          </rPr>
          <t xml:space="preserve"> SqCC </t>
        </r>
        <r>
          <rPr>
            <sz val="9"/>
            <color indexed="81"/>
            <rFont val="돋움"/>
            <family val="3"/>
            <charset val="129"/>
          </rPr>
          <t>진단</t>
        </r>
        <r>
          <rPr>
            <sz val="9"/>
            <color indexed="81"/>
            <rFont val="Tahoma"/>
            <family val="2"/>
          </rPr>
          <t>.</t>
        </r>
      </text>
    </comment>
    <comment ref="DF10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low grade squamous dysplasia</t>
        </r>
      </text>
    </comment>
    <comment ref="DM10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double primary</t>
        </r>
        <r>
          <rPr>
            <sz val="9"/>
            <color indexed="81"/>
            <rFont val="돋움"/>
            <family val="3"/>
            <charset val="129"/>
          </rPr>
          <t>로</t>
        </r>
        <r>
          <rPr>
            <sz val="9"/>
            <color indexed="81"/>
            <rFont val="Tahoma"/>
            <family val="2"/>
          </rPr>
          <t xml:space="preserve"> </t>
        </r>
        <r>
          <rPr>
            <sz val="9"/>
            <color indexed="81"/>
            <rFont val="돋움"/>
            <family val="3"/>
            <charset val="129"/>
          </rPr>
          <t>이후에</t>
        </r>
        <r>
          <rPr>
            <sz val="9"/>
            <color indexed="81"/>
            <rFont val="Tahoma"/>
            <family val="2"/>
          </rPr>
          <t xml:space="preserve"> hypopharyngeal cancer</t>
        </r>
        <r>
          <rPr>
            <sz val="9"/>
            <color indexed="81"/>
            <rFont val="돋움"/>
            <family val="3"/>
            <charset val="129"/>
          </rPr>
          <t>이</t>
        </r>
        <r>
          <rPr>
            <sz val="9"/>
            <color indexed="81"/>
            <rFont val="Tahoma"/>
            <family val="2"/>
          </rPr>
          <t xml:space="preserve"> </t>
        </r>
        <r>
          <rPr>
            <sz val="9"/>
            <color indexed="81"/>
            <rFont val="돋움"/>
            <family val="3"/>
            <charset val="129"/>
          </rPr>
          <t>생겼다</t>
        </r>
        <r>
          <rPr>
            <sz val="9"/>
            <color indexed="81"/>
            <rFont val="Tahoma"/>
            <family val="2"/>
          </rPr>
          <t xml:space="preserve">. Lung nodule </t>
        </r>
        <r>
          <rPr>
            <sz val="9"/>
            <color indexed="81"/>
            <rFont val="돋움"/>
            <family val="3"/>
            <charset val="129"/>
          </rPr>
          <t>있다는데</t>
        </r>
        <r>
          <rPr>
            <sz val="9"/>
            <color indexed="81"/>
            <rFont val="Tahoma"/>
            <family val="2"/>
          </rPr>
          <t xml:space="preserve">, </t>
        </r>
        <r>
          <rPr>
            <sz val="9"/>
            <color indexed="81"/>
            <rFont val="돋움"/>
            <family val="3"/>
            <charset val="129"/>
          </rPr>
          <t>그것이</t>
        </r>
        <r>
          <rPr>
            <sz val="9"/>
            <color indexed="81"/>
            <rFont val="Tahoma"/>
            <family val="2"/>
          </rPr>
          <t xml:space="preserve"> hypopharyngeal cancer</t>
        </r>
        <r>
          <rPr>
            <sz val="9"/>
            <color indexed="81"/>
            <rFont val="돋움"/>
            <family val="3"/>
            <charset val="129"/>
          </rPr>
          <t>의</t>
        </r>
        <r>
          <rPr>
            <sz val="9"/>
            <color indexed="81"/>
            <rFont val="Tahoma"/>
            <family val="2"/>
          </rPr>
          <t xml:space="preserve"> meta</t>
        </r>
        <r>
          <rPr>
            <sz val="9"/>
            <color indexed="81"/>
            <rFont val="돋움"/>
            <family val="3"/>
            <charset val="129"/>
          </rPr>
          <t>인지</t>
        </r>
        <r>
          <rPr>
            <sz val="9"/>
            <color indexed="81"/>
            <rFont val="Tahoma"/>
            <family val="2"/>
          </rPr>
          <t xml:space="preserve"> esophageal cancer</t>
        </r>
        <r>
          <rPr>
            <sz val="9"/>
            <color indexed="81"/>
            <rFont val="돋움"/>
            <family val="3"/>
            <charset val="129"/>
          </rPr>
          <t>의</t>
        </r>
        <r>
          <rPr>
            <sz val="9"/>
            <color indexed="81"/>
            <rFont val="Tahoma"/>
            <family val="2"/>
          </rPr>
          <t xml:space="preserve"> meta</t>
        </r>
        <r>
          <rPr>
            <sz val="9"/>
            <color indexed="81"/>
            <rFont val="돋움"/>
            <family val="3"/>
            <charset val="129"/>
          </rPr>
          <t>인지는</t>
        </r>
        <r>
          <rPr>
            <sz val="9"/>
            <color indexed="81"/>
            <rFont val="Tahoma"/>
            <family val="2"/>
          </rPr>
          <t xml:space="preserve"> </t>
        </r>
        <r>
          <rPr>
            <sz val="9"/>
            <color indexed="81"/>
            <rFont val="돋움"/>
            <family val="3"/>
            <charset val="129"/>
          </rPr>
          <t>구분되지</t>
        </r>
        <r>
          <rPr>
            <sz val="9"/>
            <color indexed="81"/>
            <rFont val="Tahoma"/>
            <family val="2"/>
          </rPr>
          <t xml:space="preserve"> </t>
        </r>
        <r>
          <rPr>
            <sz val="9"/>
            <color indexed="81"/>
            <rFont val="돋움"/>
            <family val="3"/>
            <charset val="129"/>
          </rPr>
          <t>않는다</t>
        </r>
        <r>
          <rPr>
            <sz val="9"/>
            <color indexed="81"/>
            <rFont val="Tahoma"/>
            <family val="2"/>
          </rPr>
          <t>.</t>
        </r>
      </text>
    </comment>
    <comment ref="AX10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GTV</t>
        </r>
        <r>
          <rPr>
            <sz val="9"/>
            <color indexed="81"/>
            <rFont val="돋움"/>
            <family val="3"/>
            <charset val="129"/>
          </rPr>
          <t>에서</t>
        </r>
        <r>
          <rPr>
            <sz val="9"/>
            <color indexed="81"/>
            <rFont val="Tahoma"/>
            <family val="2"/>
          </rPr>
          <t xml:space="preserve"> </t>
        </r>
        <r>
          <rPr>
            <sz val="9"/>
            <color indexed="81"/>
            <rFont val="돋움"/>
            <family val="3"/>
            <charset val="129"/>
          </rPr>
          <t>바로</t>
        </r>
        <r>
          <rPr>
            <sz val="9"/>
            <color indexed="81"/>
            <rFont val="Tahoma"/>
            <family val="2"/>
          </rPr>
          <t xml:space="preserve"> PTV</t>
        </r>
        <r>
          <rPr>
            <sz val="9"/>
            <color indexed="81"/>
            <rFont val="돋움"/>
            <family val="3"/>
            <charset val="129"/>
          </rPr>
          <t>를</t>
        </r>
        <r>
          <rPr>
            <sz val="9"/>
            <color indexed="81"/>
            <rFont val="Tahoma"/>
            <family val="2"/>
          </rPr>
          <t xml:space="preserve"> </t>
        </r>
        <r>
          <rPr>
            <sz val="9"/>
            <color indexed="81"/>
            <rFont val="돋움"/>
            <family val="3"/>
            <charset val="129"/>
          </rPr>
          <t>형성함</t>
        </r>
        <r>
          <rPr>
            <sz val="9"/>
            <color indexed="81"/>
            <rFont val="Tahoma"/>
            <family val="2"/>
          </rPr>
          <t>.</t>
        </r>
      </text>
    </comment>
    <comment ref="DT10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Adrenal meta </t>
        </r>
        <r>
          <rPr>
            <sz val="9"/>
            <color indexed="81"/>
            <rFont val="돋움"/>
            <family val="3"/>
            <charset val="129"/>
          </rPr>
          <t>확인되었을</t>
        </r>
        <r>
          <rPr>
            <sz val="9"/>
            <color indexed="81"/>
            <rFont val="Tahoma"/>
            <family val="2"/>
          </rPr>
          <t xml:space="preserve"> </t>
        </r>
        <r>
          <rPr>
            <sz val="9"/>
            <color indexed="81"/>
            <rFont val="돋움"/>
            <family val="3"/>
            <charset val="129"/>
          </rPr>
          <t>때</t>
        </r>
        <r>
          <rPr>
            <sz val="9"/>
            <color indexed="81"/>
            <rFont val="Tahoma"/>
            <family val="2"/>
          </rPr>
          <t xml:space="preserve"> PET </t>
        </r>
        <r>
          <rPr>
            <sz val="9"/>
            <color indexed="81"/>
            <rFont val="돋움"/>
            <family val="3"/>
            <charset val="129"/>
          </rPr>
          <t>상에서는</t>
        </r>
        <r>
          <rPr>
            <sz val="9"/>
            <color indexed="81"/>
            <rFont val="Tahoma"/>
            <family val="2"/>
          </rPr>
          <t xml:space="preserve"> paraesophageal LN</t>
        </r>
        <r>
          <rPr>
            <sz val="9"/>
            <color indexed="81"/>
            <rFont val="돋움"/>
            <family val="3"/>
            <charset val="129"/>
          </rPr>
          <t>도</t>
        </r>
        <r>
          <rPr>
            <sz val="9"/>
            <color indexed="81"/>
            <rFont val="Tahoma"/>
            <family val="2"/>
          </rPr>
          <t xml:space="preserve"> </t>
        </r>
        <r>
          <rPr>
            <sz val="9"/>
            <color indexed="81"/>
            <rFont val="돋움"/>
            <family val="3"/>
            <charset val="129"/>
          </rPr>
          <t>의심은</t>
        </r>
        <r>
          <rPr>
            <sz val="9"/>
            <color indexed="81"/>
            <rFont val="Tahoma"/>
            <family val="2"/>
          </rPr>
          <t xml:space="preserve"> </t>
        </r>
        <r>
          <rPr>
            <sz val="9"/>
            <color indexed="81"/>
            <rFont val="돋움"/>
            <family val="3"/>
            <charset val="129"/>
          </rPr>
          <t>되었는데</t>
        </r>
        <r>
          <rPr>
            <sz val="9"/>
            <color indexed="81"/>
            <rFont val="Tahoma"/>
            <family val="2"/>
          </rPr>
          <t xml:space="preserve">, follow-up </t>
        </r>
        <r>
          <rPr>
            <sz val="9"/>
            <color indexed="81"/>
            <rFont val="돋움"/>
            <family val="3"/>
            <charset val="129"/>
          </rPr>
          <t>결과</t>
        </r>
        <r>
          <rPr>
            <sz val="9"/>
            <color indexed="81"/>
            <rFont val="Tahoma"/>
            <family val="2"/>
          </rPr>
          <t xml:space="preserve"> </t>
        </r>
        <r>
          <rPr>
            <sz val="9"/>
            <color indexed="81"/>
            <rFont val="돋움"/>
            <family val="3"/>
            <charset val="129"/>
          </rPr>
          <t>그건</t>
        </r>
        <r>
          <rPr>
            <sz val="9"/>
            <color indexed="81"/>
            <rFont val="Tahoma"/>
            <family val="2"/>
          </rPr>
          <t xml:space="preserve"> </t>
        </r>
        <r>
          <rPr>
            <sz val="9"/>
            <color indexed="81"/>
            <rFont val="돋움"/>
            <family val="3"/>
            <charset val="129"/>
          </rPr>
          <t>아니었던걸로</t>
        </r>
        <r>
          <rPr>
            <sz val="9"/>
            <color indexed="81"/>
            <rFont val="Tahoma"/>
            <family val="2"/>
          </rPr>
          <t>.</t>
        </r>
      </text>
    </comment>
    <comment ref="Y10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협조가</t>
        </r>
        <r>
          <rPr>
            <sz val="9"/>
            <color indexed="81"/>
            <rFont val="Tahoma"/>
            <family val="2"/>
          </rPr>
          <t xml:space="preserve"> </t>
        </r>
        <r>
          <rPr>
            <sz val="9"/>
            <color indexed="81"/>
            <rFont val="돋움"/>
            <family val="3"/>
            <charset val="129"/>
          </rPr>
          <t>떨어져</t>
        </r>
        <r>
          <rPr>
            <sz val="9"/>
            <color indexed="81"/>
            <rFont val="Tahoma"/>
            <family val="2"/>
          </rPr>
          <t xml:space="preserve"> EUS</t>
        </r>
        <r>
          <rPr>
            <sz val="9"/>
            <color indexed="81"/>
            <rFont val="돋움"/>
            <family val="3"/>
            <charset val="129"/>
          </rPr>
          <t>를</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시행하지</t>
        </r>
        <r>
          <rPr>
            <sz val="9"/>
            <color indexed="81"/>
            <rFont val="Tahoma"/>
            <family val="2"/>
          </rPr>
          <t xml:space="preserve"> </t>
        </r>
        <r>
          <rPr>
            <sz val="9"/>
            <color indexed="81"/>
            <rFont val="돋움"/>
            <family val="3"/>
            <charset val="129"/>
          </rPr>
          <t>못했다</t>
        </r>
        <r>
          <rPr>
            <sz val="9"/>
            <color indexed="81"/>
            <rFont val="Tahoma"/>
            <family val="2"/>
          </rPr>
          <t xml:space="preserve">.
</t>
        </r>
        <r>
          <rPr>
            <sz val="9"/>
            <color indexed="81"/>
            <rFont val="돋움"/>
            <family val="3"/>
            <charset val="129"/>
          </rPr>
          <t>흉부외과에서는</t>
        </r>
        <r>
          <rPr>
            <sz val="9"/>
            <color indexed="81"/>
            <rFont val="Tahoma"/>
            <family val="2"/>
          </rPr>
          <t xml:space="preserve"> T3</t>
        </r>
        <r>
          <rPr>
            <sz val="9"/>
            <color indexed="81"/>
            <rFont val="돋움"/>
            <family val="3"/>
            <charset val="129"/>
          </rPr>
          <t>로</t>
        </r>
        <r>
          <rPr>
            <sz val="9"/>
            <color indexed="81"/>
            <rFont val="Tahoma"/>
            <family val="2"/>
          </rPr>
          <t xml:space="preserve"> </t>
        </r>
        <r>
          <rPr>
            <sz val="9"/>
            <color indexed="81"/>
            <rFont val="돋움"/>
            <family val="3"/>
            <charset val="129"/>
          </rPr>
          <t>적어놓긴</t>
        </r>
        <r>
          <rPr>
            <sz val="9"/>
            <color indexed="81"/>
            <rFont val="Tahoma"/>
            <family val="2"/>
          </rPr>
          <t xml:space="preserve"> </t>
        </r>
        <r>
          <rPr>
            <sz val="9"/>
            <color indexed="81"/>
            <rFont val="돋움"/>
            <family val="3"/>
            <charset val="129"/>
          </rPr>
          <t>했다</t>
        </r>
        <r>
          <rPr>
            <sz val="9"/>
            <color indexed="81"/>
            <rFont val="Tahoma"/>
            <family val="2"/>
          </rPr>
          <t>.</t>
        </r>
      </text>
    </comment>
    <comment ref="AN10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text>
    </comment>
    <comment ref="AZ10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 1.0
LN: 0.7</t>
        </r>
      </text>
    </comment>
    <comment ref="CC109" authorId="1" shapeId="0">
      <text>
        <r>
          <rPr>
            <b/>
            <sz val="9"/>
            <color indexed="81"/>
            <rFont val="Tahoma"/>
            <family val="2"/>
          </rPr>
          <t>SNUH:</t>
        </r>
        <r>
          <rPr>
            <sz val="9"/>
            <color indexed="81"/>
            <rFont val="Tahoma"/>
            <family val="2"/>
          </rPr>
          <t xml:space="preserve">
11.6?</t>
        </r>
      </text>
    </comment>
    <comment ref="EV10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cecum</t>
        </r>
      </text>
    </comment>
    <comment ref="AN11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text>
    </comment>
    <comment ref="DI11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post-FP #3 ('13.9.9-, '14.1.15-) </t>
        </r>
      </text>
    </comment>
    <comment ref="AD1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SCL</t>
        </r>
        <r>
          <rPr>
            <sz val="9"/>
            <color indexed="81"/>
            <rFont val="돋움"/>
            <family val="3"/>
            <charset val="129"/>
          </rPr>
          <t>이라고</t>
        </r>
        <r>
          <rPr>
            <sz val="9"/>
            <color indexed="81"/>
            <rFont val="Tahoma"/>
            <family val="2"/>
          </rPr>
          <t xml:space="preserve"> </t>
        </r>
        <r>
          <rPr>
            <sz val="9"/>
            <color indexed="81"/>
            <rFont val="돋움"/>
            <family val="3"/>
            <charset val="129"/>
          </rPr>
          <t>적혀있는</t>
        </r>
        <r>
          <rPr>
            <sz val="9"/>
            <color indexed="81"/>
            <rFont val="Tahoma"/>
            <family val="2"/>
          </rPr>
          <t xml:space="preserve"> </t>
        </r>
        <r>
          <rPr>
            <sz val="9"/>
            <color indexed="81"/>
            <rFont val="돋움"/>
            <family val="3"/>
            <charset val="129"/>
          </rPr>
          <t>것은</t>
        </r>
        <r>
          <rPr>
            <sz val="9"/>
            <color indexed="81"/>
            <rFont val="Tahoma"/>
            <family val="2"/>
          </rPr>
          <t xml:space="preserve"> high periesophageal</t>
        </r>
        <r>
          <rPr>
            <sz val="9"/>
            <color indexed="81"/>
            <rFont val="돋움"/>
            <family val="3"/>
            <charset val="129"/>
          </rPr>
          <t>로</t>
        </r>
        <r>
          <rPr>
            <sz val="9"/>
            <color indexed="81"/>
            <rFont val="Tahoma"/>
            <family val="2"/>
          </rPr>
          <t xml:space="preserve"> </t>
        </r>
        <r>
          <rPr>
            <sz val="9"/>
            <color indexed="81"/>
            <rFont val="돋움"/>
            <family val="3"/>
            <charset val="129"/>
          </rPr>
          <t>볼</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같다</t>
        </r>
        <r>
          <rPr>
            <sz val="9"/>
            <color indexed="81"/>
            <rFont val="Tahoma"/>
            <family val="2"/>
          </rPr>
          <t>.</t>
        </r>
      </text>
    </comment>
    <comment ref="AN1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 </t>
        </r>
        <r>
          <rPr>
            <sz val="9"/>
            <color indexed="81"/>
            <rFont val="돋움"/>
            <family val="3"/>
            <charset val="129"/>
          </rPr>
          <t>다만</t>
        </r>
        <r>
          <rPr>
            <sz val="9"/>
            <color indexed="81"/>
            <rFont val="Tahoma"/>
            <family val="2"/>
          </rPr>
          <t xml:space="preserve"> uppermost mediastinum</t>
        </r>
        <r>
          <rPr>
            <sz val="9"/>
            <color indexed="81"/>
            <rFont val="돋움"/>
            <family val="3"/>
            <charset val="129"/>
          </rPr>
          <t>에</t>
        </r>
        <r>
          <rPr>
            <sz val="9"/>
            <color indexed="81"/>
            <rFont val="Tahoma"/>
            <family val="2"/>
          </rPr>
          <t xml:space="preserve"> GTV </t>
        </r>
        <r>
          <rPr>
            <sz val="9"/>
            <color indexed="81"/>
            <rFont val="돋움"/>
            <family val="3"/>
            <charset val="129"/>
          </rPr>
          <t>있음</t>
        </r>
        <r>
          <rPr>
            <sz val="9"/>
            <color indexed="81"/>
            <rFont val="Tahoma"/>
            <family val="2"/>
          </rPr>
          <t>.</t>
        </r>
      </text>
    </comment>
    <comment ref="AU1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기술은</t>
        </r>
        <r>
          <rPr>
            <sz val="9"/>
            <color indexed="81"/>
            <rFont val="Tahoma"/>
            <family val="2"/>
          </rPr>
          <t xml:space="preserve"> 4.5</t>
        </r>
        <r>
          <rPr>
            <sz val="9"/>
            <color indexed="81"/>
            <rFont val="돋움"/>
            <family val="3"/>
            <charset val="129"/>
          </rPr>
          <t>로</t>
        </r>
        <r>
          <rPr>
            <sz val="9"/>
            <color indexed="81"/>
            <rFont val="Tahoma"/>
            <family val="2"/>
          </rPr>
          <t xml:space="preserve"> </t>
        </r>
        <r>
          <rPr>
            <sz val="9"/>
            <color indexed="81"/>
            <rFont val="돋움"/>
            <family val="3"/>
            <charset val="129"/>
          </rPr>
          <t>되어있는데</t>
        </r>
        <r>
          <rPr>
            <sz val="9"/>
            <color indexed="81"/>
            <rFont val="Tahoma"/>
            <family val="2"/>
          </rPr>
          <t xml:space="preserve">, </t>
        </r>
        <r>
          <rPr>
            <sz val="9"/>
            <color indexed="81"/>
            <rFont val="돋움"/>
            <family val="3"/>
            <charset val="129"/>
          </rPr>
          <t>실재로는</t>
        </r>
        <r>
          <rPr>
            <sz val="9"/>
            <color indexed="81"/>
            <rFont val="Tahoma"/>
            <family val="2"/>
          </rPr>
          <t xml:space="preserve"> 2cm expansion</t>
        </r>
        <r>
          <rPr>
            <sz val="9"/>
            <color indexed="81"/>
            <rFont val="돋움"/>
            <family val="3"/>
            <charset val="129"/>
          </rPr>
          <t>에</t>
        </r>
        <r>
          <rPr>
            <sz val="9"/>
            <color indexed="81"/>
            <rFont val="Tahoma"/>
            <family val="2"/>
          </rPr>
          <t xml:space="preserve"> upper mediastinum </t>
        </r>
        <r>
          <rPr>
            <sz val="9"/>
            <color indexed="81"/>
            <rFont val="돋움"/>
            <family val="3"/>
            <charset val="129"/>
          </rPr>
          <t>추가한</t>
        </r>
        <r>
          <rPr>
            <sz val="9"/>
            <color indexed="81"/>
            <rFont val="Tahoma"/>
            <family val="2"/>
          </rPr>
          <t xml:space="preserve"> </t>
        </r>
        <r>
          <rPr>
            <sz val="9"/>
            <color indexed="81"/>
            <rFont val="돋움"/>
            <family val="3"/>
            <charset val="129"/>
          </rPr>
          <t>양상</t>
        </r>
        <r>
          <rPr>
            <sz val="9"/>
            <color indexed="81"/>
            <rFont val="Tahoma"/>
            <family val="2"/>
          </rPr>
          <t>.</t>
        </r>
      </text>
    </comment>
    <comment ref="CQ1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병리</t>
        </r>
        <r>
          <rPr>
            <sz val="9"/>
            <color indexed="81"/>
            <rFont val="Tahoma"/>
            <family val="2"/>
          </rPr>
          <t xml:space="preserve"> </t>
        </r>
        <r>
          <rPr>
            <sz val="9"/>
            <color indexed="81"/>
            <rFont val="돋움"/>
            <family val="3"/>
            <charset val="129"/>
          </rPr>
          <t>리포트에서</t>
        </r>
        <r>
          <rPr>
            <sz val="9"/>
            <color indexed="81"/>
            <rFont val="Tahoma"/>
            <family val="2"/>
          </rPr>
          <t xml:space="preserve"> </t>
        </r>
        <r>
          <rPr>
            <sz val="9"/>
            <color indexed="81"/>
            <rFont val="돋움"/>
            <family val="3"/>
            <charset val="129"/>
          </rPr>
          <t>크기가</t>
        </r>
        <r>
          <rPr>
            <sz val="9"/>
            <color indexed="81"/>
            <rFont val="Tahoma"/>
            <family val="2"/>
          </rPr>
          <t xml:space="preserve"> </t>
        </r>
        <r>
          <rPr>
            <sz val="9"/>
            <color indexed="81"/>
            <rFont val="돋움"/>
            <family val="3"/>
            <charset val="129"/>
          </rPr>
          <t>누락되어</t>
        </r>
        <r>
          <rPr>
            <sz val="9"/>
            <color indexed="81"/>
            <rFont val="Tahoma"/>
            <family val="2"/>
          </rPr>
          <t xml:space="preserve"> </t>
        </r>
        <r>
          <rPr>
            <sz val="9"/>
            <color indexed="81"/>
            <rFont val="돋움"/>
            <family val="3"/>
            <charset val="129"/>
          </rPr>
          <t>있다</t>
        </r>
        <r>
          <rPr>
            <sz val="9"/>
            <color indexed="81"/>
            <rFont val="Tahoma"/>
            <family val="2"/>
          </rPr>
          <t>.</t>
        </r>
      </text>
    </comment>
    <comment ref="CU1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병리</t>
        </r>
        <r>
          <rPr>
            <sz val="9"/>
            <color indexed="81"/>
            <rFont val="Tahoma"/>
            <family val="2"/>
          </rPr>
          <t xml:space="preserve"> </t>
        </r>
        <r>
          <rPr>
            <sz val="9"/>
            <color indexed="81"/>
            <rFont val="돋움"/>
            <family val="3"/>
            <charset val="129"/>
          </rPr>
          <t>리포트에서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누락됨</t>
        </r>
      </text>
    </comment>
    <comment ref="CW1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병리</t>
        </r>
        <r>
          <rPr>
            <sz val="9"/>
            <color indexed="81"/>
            <rFont val="Tahoma"/>
            <family val="2"/>
          </rPr>
          <t xml:space="preserve"> </t>
        </r>
        <r>
          <rPr>
            <sz val="9"/>
            <color indexed="81"/>
            <rFont val="돋움"/>
            <family val="3"/>
            <charset val="129"/>
          </rPr>
          <t>리포트에서</t>
        </r>
        <r>
          <rPr>
            <sz val="9"/>
            <color indexed="81"/>
            <rFont val="Tahoma"/>
            <family val="2"/>
          </rPr>
          <t xml:space="preserve"> </t>
        </r>
        <r>
          <rPr>
            <sz val="9"/>
            <color indexed="81"/>
            <rFont val="돋움"/>
            <family val="3"/>
            <charset val="129"/>
          </rPr>
          <t>누락됨</t>
        </r>
      </text>
    </comment>
    <comment ref="P112" authorId="0" shapeId="0">
      <text>
        <r>
          <rPr>
            <b/>
            <sz val="9"/>
            <color indexed="81"/>
            <rFont val="Tahoma"/>
            <family val="2"/>
          </rPr>
          <t xml:space="preserve">Windows </t>
        </r>
        <r>
          <rPr>
            <b/>
            <sz val="9"/>
            <color indexed="81"/>
            <rFont val="돋움"/>
            <family val="3"/>
            <charset val="129"/>
          </rPr>
          <t>사용자</t>
        </r>
        <r>
          <rPr>
            <b/>
            <sz val="9"/>
            <color indexed="81"/>
            <rFont val="Tahoma"/>
            <family val="2"/>
          </rPr>
          <t xml:space="preserve">:
</t>
        </r>
        <r>
          <rPr>
            <sz val="9"/>
            <color indexed="81"/>
            <rFont val="Tahoma"/>
            <family val="2"/>
          </rPr>
          <t xml:space="preserve">differentiation </t>
        </r>
        <r>
          <rPr>
            <sz val="9"/>
            <color indexed="81"/>
            <rFont val="돋움"/>
            <family val="3"/>
            <charset val="129"/>
          </rPr>
          <t>평가</t>
        </r>
        <r>
          <rPr>
            <sz val="9"/>
            <color indexed="81"/>
            <rFont val="Tahoma"/>
            <family val="2"/>
          </rPr>
          <t xml:space="preserve"> </t>
        </r>
        <r>
          <rPr>
            <sz val="9"/>
            <color indexed="81"/>
            <rFont val="돋움"/>
            <family val="3"/>
            <charset val="129"/>
          </rPr>
          <t>안됨</t>
        </r>
      </text>
    </comment>
    <comment ref="AN11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text>
    </comment>
    <comment ref="AX11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RF</t>
        </r>
        <r>
          <rPr>
            <sz val="9"/>
            <color indexed="81"/>
            <rFont val="돋움"/>
            <family val="3"/>
            <charset val="129"/>
          </rPr>
          <t>는</t>
        </r>
        <r>
          <rPr>
            <sz val="9"/>
            <color indexed="81"/>
            <rFont val="Tahoma"/>
            <family val="2"/>
          </rPr>
          <t xml:space="preserve"> </t>
        </r>
        <r>
          <rPr>
            <sz val="9"/>
            <color indexed="81"/>
            <rFont val="돋움"/>
            <family val="3"/>
            <charset val="129"/>
          </rPr>
          <t>처음에</t>
        </r>
        <r>
          <rPr>
            <sz val="9"/>
            <color indexed="81"/>
            <rFont val="Tahoma"/>
            <family val="2"/>
          </rPr>
          <t xml:space="preserve"> definitive </t>
        </r>
        <r>
          <rPr>
            <sz val="9"/>
            <color indexed="81"/>
            <rFont val="돋움"/>
            <family val="3"/>
            <charset val="129"/>
          </rPr>
          <t>할까</t>
        </r>
        <r>
          <rPr>
            <sz val="9"/>
            <color indexed="81"/>
            <rFont val="Tahoma"/>
            <family val="2"/>
          </rPr>
          <t xml:space="preserve"> </t>
        </r>
        <r>
          <rPr>
            <sz val="9"/>
            <color indexed="81"/>
            <rFont val="돋움"/>
            <family val="3"/>
            <charset val="129"/>
          </rPr>
          <t>말까</t>
        </r>
        <r>
          <rPr>
            <sz val="9"/>
            <color indexed="81"/>
            <rFont val="Tahoma"/>
            <family val="2"/>
          </rPr>
          <t xml:space="preserve"> </t>
        </r>
        <r>
          <rPr>
            <sz val="9"/>
            <color indexed="81"/>
            <rFont val="돋움"/>
            <family val="3"/>
            <charset val="129"/>
          </rPr>
          <t>해서</t>
        </r>
        <r>
          <rPr>
            <sz val="9"/>
            <color indexed="81"/>
            <rFont val="Tahoma"/>
            <family val="2"/>
          </rPr>
          <t xml:space="preserve"> </t>
        </r>
        <r>
          <rPr>
            <sz val="9"/>
            <color indexed="81"/>
            <rFont val="돋움"/>
            <family val="3"/>
            <charset val="129"/>
          </rPr>
          <t>계획만</t>
        </r>
        <r>
          <rPr>
            <sz val="9"/>
            <color indexed="81"/>
            <rFont val="Tahoma"/>
            <family val="2"/>
          </rPr>
          <t xml:space="preserve"> </t>
        </r>
        <r>
          <rPr>
            <sz val="9"/>
            <color indexed="81"/>
            <rFont val="돋움"/>
            <family val="3"/>
            <charset val="129"/>
          </rPr>
          <t>된</t>
        </r>
        <r>
          <rPr>
            <sz val="9"/>
            <color indexed="81"/>
            <rFont val="Tahoma"/>
            <family val="2"/>
          </rPr>
          <t xml:space="preserve"> </t>
        </r>
        <r>
          <rPr>
            <sz val="9"/>
            <color indexed="81"/>
            <rFont val="돋움"/>
            <family val="3"/>
            <charset val="129"/>
          </rPr>
          <t>듯</t>
        </r>
        <r>
          <rPr>
            <sz val="9"/>
            <color indexed="81"/>
            <rFont val="Tahoma"/>
            <family val="2"/>
          </rPr>
          <t>.</t>
        </r>
      </text>
    </comment>
    <comment ref="BA112" authorId="1" shapeId="0">
      <text>
        <r>
          <rPr>
            <b/>
            <sz val="9"/>
            <color rgb="FF000000"/>
            <rFont val="Tahoma"/>
            <family val="2"/>
          </rPr>
          <t>SNUH:</t>
        </r>
        <r>
          <rPr>
            <sz val="9"/>
            <color rgb="FF000000"/>
            <rFont val="Tahoma"/>
            <family val="2"/>
          </rPr>
          <t xml:space="preserve">
</t>
        </r>
        <r>
          <rPr>
            <sz val="9"/>
            <color rgb="FF000000"/>
            <rFont val="Tahoma"/>
            <family val="2"/>
          </rPr>
          <t>GTV (primary?)</t>
        </r>
        <r>
          <rPr>
            <sz val="9"/>
            <color rgb="FF000000"/>
            <rFont val="돋움"/>
            <family val="2"/>
            <charset val="129"/>
          </rPr>
          <t>가</t>
        </r>
        <r>
          <rPr>
            <sz val="9"/>
            <color rgb="FF000000"/>
            <rFont val="Tahoma"/>
            <family val="2"/>
          </rPr>
          <t xml:space="preserve"> esophagus</t>
        </r>
        <r>
          <rPr>
            <sz val="9"/>
            <color rgb="FF000000"/>
            <rFont val="돋움"/>
            <family val="2"/>
            <charset val="129"/>
          </rPr>
          <t>에</t>
        </r>
        <r>
          <rPr>
            <sz val="9"/>
            <color rgb="FF000000"/>
            <rFont val="Tahoma"/>
            <family val="2"/>
          </rPr>
          <t xml:space="preserve"> </t>
        </r>
        <r>
          <rPr>
            <sz val="9"/>
            <color rgb="FF000000"/>
            <rFont val="돋움"/>
            <family val="2"/>
            <charset val="129"/>
          </rPr>
          <t>두</t>
        </r>
        <r>
          <rPr>
            <sz val="9"/>
            <color rgb="FF000000"/>
            <rFont val="Tahoma"/>
            <family val="2"/>
          </rPr>
          <t xml:space="preserve"> </t>
        </r>
        <r>
          <rPr>
            <sz val="9"/>
            <color rgb="FF000000"/>
            <rFont val="돋움"/>
            <family val="2"/>
            <charset val="129"/>
          </rPr>
          <t>개</t>
        </r>
        <r>
          <rPr>
            <sz val="9"/>
            <color rgb="FF000000"/>
            <rFont val="Tahoma"/>
            <family val="2"/>
          </rPr>
          <t xml:space="preserve"> </t>
        </r>
        <r>
          <rPr>
            <sz val="9"/>
            <color rgb="FF000000"/>
            <rFont val="돋움"/>
            <family val="2"/>
            <charset val="129"/>
          </rPr>
          <t>그려져</t>
        </r>
        <r>
          <rPr>
            <sz val="9"/>
            <color rgb="FF000000"/>
            <rFont val="Tahoma"/>
            <family val="2"/>
          </rPr>
          <t xml:space="preserve"> </t>
        </r>
        <r>
          <rPr>
            <sz val="9"/>
            <color rgb="FF000000"/>
            <rFont val="돋움"/>
            <family val="2"/>
            <charset val="129"/>
          </rPr>
          <t>있는데</t>
        </r>
        <r>
          <rPr>
            <sz val="9"/>
            <color rgb="FF000000"/>
            <rFont val="Tahoma"/>
            <family val="2"/>
          </rPr>
          <t xml:space="preserve">, </t>
        </r>
        <r>
          <rPr>
            <sz val="9"/>
            <color rgb="FF000000"/>
            <rFont val="돋움"/>
            <family val="2"/>
            <charset val="129"/>
          </rPr>
          <t>확인이</t>
        </r>
        <r>
          <rPr>
            <sz val="9"/>
            <color rgb="FF000000"/>
            <rFont val="Tahoma"/>
            <family val="2"/>
          </rPr>
          <t xml:space="preserve"> </t>
        </r>
        <r>
          <rPr>
            <sz val="9"/>
            <color rgb="FF000000"/>
            <rFont val="돋움"/>
            <family val="2"/>
            <charset val="129"/>
          </rPr>
          <t>필요하다</t>
        </r>
        <r>
          <rPr>
            <sz val="9"/>
            <color rgb="FF000000"/>
            <rFont val="Tahoma"/>
            <family val="2"/>
          </rPr>
          <t xml:space="preserve">. </t>
        </r>
        <r>
          <rPr>
            <sz val="9"/>
            <color rgb="FF000000"/>
            <rFont val="돋움"/>
            <family val="2"/>
            <charset val="129"/>
          </rPr>
          <t>일단은</t>
        </r>
        <r>
          <rPr>
            <sz val="9"/>
            <color rgb="FF000000"/>
            <rFont val="Tahoma"/>
            <family val="2"/>
          </rPr>
          <t xml:space="preserve"> </t>
        </r>
        <r>
          <rPr>
            <sz val="9"/>
            <color rgb="FF000000"/>
            <rFont val="돋움"/>
            <family val="2"/>
            <charset val="129"/>
          </rPr>
          <t>모든</t>
        </r>
        <r>
          <rPr>
            <sz val="9"/>
            <color rgb="FF000000"/>
            <rFont val="Tahoma"/>
            <family val="2"/>
          </rPr>
          <t xml:space="preserve"> GTV primary</t>
        </r>
        <r>
          <rPr>
            <sz val="9"/>
            <color rgb="FF000000"/>
            <rFont val="돋움"/>
            <family val="2"/>
            <charset val="129"/>
          </rPr>
          <t>의</t>
        </r>
        <r>
          <rPr>
            <sz val="9"/>
            <color rgb="FF000000"/>
            <rFont val="Tahoma"/>
            <family val="2"/>
          </rPr>
          <t xml:space="preserve"> </t>
        </r>
        <r>
          <rPr>
            <sz val="9"/>
            <color rgb="FF000000"/>
            <rFont val="돋움"/>
            <family val="2"/>
            <charset val="129"/>
          </rPr>
          <t>최상단에서</t>
        </r>
        <r>
          <rPr>
            <sz val="9"/>
            <color rgb="FF000000"/>
            <rFont val="Tahoma"/>
            <family val="2"/>
          </rPr>
          <t xml:space="preserve"> </t>
        </r>
        <r>
          <rPr>
            <sz val="9"/>
            <color rgb="FF000000"/>
            <rFont val="돋움"/>
            <family val="2"/>
            <charset val="129"/>
          </rPr>
          <t>최하단까지로</t>
        </r>
        <r>
          <rPr>
            <sz val="9"/>
            <color rgb="FF000000"/>
            <rFont val="Tahoma"/>
            <family val="2"/>
          </rPr>
          <t xml:space="preserve"> </t>
        </r>
        <r>
          <rPr>
            <sz val="9"/>
            <color rgb="FF000000"/>
            <rFont val="돋움"/>
            <family val="2"/>
            <charset val="129"/>
          </rPr>
          <t>측정했다</t>
        </r>
        <r>
          <rPr>
            <sz val="9"/>
            <color rgb="FF000000"/>
            <rFont val="Tahoma"/>
            <family val="2"/>
          </rPr>
          <t>.</t>
        </r>
      </text>
    </comment>
    <comment ref="AD11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SCN</t>
        </r>
        <r>
          <rPr>
            <sz val="9"/>
            <color indexed="81"/>
            <rFont val="돋움"/>
            <family val="3"/>
            <charset val="129"/>
          </rPr>
          <t>이라고</t>
        </r>
        <r>
          <rPr>
            <sz val="9"/>
            <color indexed="81"/>
            <rFont val="Tahoma"/>
            <family val="2"/>
          </rPr>
          <t xml:space="preserve"> </t>
        </r>
        <r>
          <rPr>
            <sz val="9"/>
            <color indexed="81"/>
            <rFont val="돋움"/>
            <family val="3"/>
            <charset val="129"/>
          </rPr>
          <t>언급된</t>
        </r>
        <r>
          <rPr>
            <sz val="9"/>
            <color indexed="81"/>
            <rFont val="Tahoma"/>
            <family val="2"/>
          </rPr>
          <t xml:space="preserve"> </t>
        </r>
        <r>
          <rPr>
            <sz val="9"/>
            <color indexed="81"/>
            <rFont val="돋움"/>
            <family val="3"/>
            <charset val="129"/>
          </rPr>
          <t>것은</t>
        </r>
        <r>
          <rPr>
            <sz val="9"/>
            <color indexed="81"/>
            <rFont val="Tahoma"/>
            <family val="2"/>
          </rPr>
          <t xml:space="preserve"> Lt upper paratracheal LN</t>
        </r>
        <r>
          <rPr>
            <sz val="9"/>
            <color indexed="81"/>
            <rFont val="돋움"/>
            <family val="3"/>
            <charset val="129"/>
          </rPr>
          <t>으로도</t>
        </r>
        <r>
          <rPr>
            <sz val="9"/>
            <color indexed="81"/>
            <rFont val="Tahoma"/>
            <family val="2"/>
          </rPr>
          <t xml:space="preserve"> </t>
        </r>
        <r>
          <rPr>
            <sz val="9"/>
            <color indexed="81"/>
            <rFont val="돋움"/>
            <family val="3"/>
            <charset val="129"/>
          </rPr>
          <t>볼</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있겠는데</t>
        </r>
      </text>
    </comment>
    <comment ref="BC11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Periesophageal lymph node coverage</t>
        </r>
        <r>
          <rPr>
            <sz val="9"/>
            <color indexed="81"/>
            <rFont val="돋움"/>
            <family val="3"/>
            <charset val="129"/>
          </rPr>
          <t>때문에</t>
        </r>
        <r>
          <rPr>
            <sz val="9"/>
            <color indexed="81"/>
            <rFont val="Tahoma"/>
            <family val="2"/>
          </rPr>
          <t xml:space="preserve"> </t>
        </r>
        <r>
          <rPr>
            <sz val="9"/>
            <color indexed="81"/>
            <rFont val="돋움"/>
            <family val="3"/>
            <charset val="129"/>
          </rPr>
          <t>늘어난</t>
        </r>
        <r>
          <rPr>
            <sz val="9"/>
            <color indexed="81"/>
            <rFont val="Tahoma"/>
            <family val="2"/>
          </rPr>
          <t xml:space="preserve"> </t>
        </r>
        <r>
          <rPr>
            <sz val="9"/>
            <color indexed="81"/>
            <rFont val="돋움"/>
            <family val="3"/>
            <charset val="129"/>
          </rPr>
          <t>것이고</t>
        </r>
        <r>
          <rPr>
            <sz val="9"/>
            <color indexed="81"/>
            <rFont val="Tahoma"/>
            <family val="2"/>
          </rPr>
          <t>, elective coverage</t>
        </r>
        <r>
          <rPr>
            <sz val="9"/>
            <color indexed="81"/>
            <rFont val="돋움"/>
            <family val="3"/>
            <charset val="129"/>
          </rPr>
          <t>가</t>
        </r>
        <r>
          <rPr>
            <sz val="9"/>
            <color indexed="81"/>
            <rFont val="Tahoma"/>
            <family val="2"/>
          </rPr>
          <t xml:space="preserve"> </t>
        </r>
        <r>
          <rPr>
            <sz val="9"/>
            <color indexed="81"/>
            <rFont val="돋움"/>
            <family val="3"/>
            <charset val="129"/>
          </rPr>
          <t>아니다</t>
        </r>
        <r>
          <rPr>
            <sz val="9"/>
            <color indexed="81"/>
            <rFont val="Tahoma"/>
            <family val="2"/>
          </rPr>
          <t>.</t>
        </r>
      </text>
    </comment>
    <comment ref="CC113" authorId="1" shapeId="0">
      <text>
        <r>
          <rPr>
            <b/>
            <sz val="9"/>
            <color indexed="81"/>
            <rFont val="Tahoma"/>
            <family val="2"/>
          </rPr>
          <t>SNUH:</t>
        </r>
        <r>
          <rPr>
            <sz val="9"/>
            <color indexed="81"/>
            <rFont val="Tahoma"/>
            <family val="2"/>
          </rPr>
          <t xml:space="preserve">
Primary site</t>
        </r>
        <r>
          <rPr>
            <sz val="9"/>
            <color indexed="81"/>
            <rFont val="돋움"/>
            <family val="3"/>
            <charset val="129"/>
          </rPr>
          <t>에는</t>
        </r>
        <r>
          <rPr>
            <sz val="9"/>
            <color indexed="81"/>
            <rFont val="Tahoma"/>
            <family val="2"/>
          </rPr>
          <t xml:space="preserve"> definite hypermetabolism</t>
        </r>
        <r>
          <rPr>
            <sz val="9"/>
            <color indexed="81"/>
            <rFont val="돋움"/>
            <family val="3"/>
            <charset val="129"/>
          </rPr>
          <t>이</t>
        </r>
        <r>
          <rPr>
            <sz val="9"/>
            <color indexed="81"/>
            <rFont val="Tahoma"/>
            <family val="2"/>
          </rPr>
          <t xml:space="preserve"> </t>
        </r>
        <r>
          <rPr>
            <sz val="9"/>
            <color indexed="81"/>
            <rFont val="돋움"/>
            <family val="3"/>
            <charset val="129"/>
          </rPr>
          <t>없음</t>
        </r>
        <r>
          <rPr>
            <sz val="9"/>
            <color indexed="81"/>
            <rFont val="Tahoma"/>
            <family val="2"/>
          </rPr>
          <t>.</t>
        </r>
      </text>
    </comment>
    <comment ref="Z11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N1</t>
        </r>
        <r>
          <rPr>
            <sz val="9"/>
            <color indexed="81"/>
            <rFont val="돋움"/>
            <family val="3"/>
            <charset val="129"/>
          </rPr>
          <t>이라기에는</t>
        </r>
        <r>
          <rPr>
            <sz val="9"/>
            <color indexed="81"/>
            <rFont val="Tahoma"/>
            <family val="2"/>
          </rPr>
          <t xml:space="preserve"> lymph node </t>
        </r>
        <r>
          <rPr>
            <sz val="9"/>
            <color indexed="81"/>
            <rFont val="돋움"/>
            <family val="3"/>
            <charset val="129"/>
          </rPr>
          <t>의심되는게</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많은데</t>
        </r>
      </text>
    </comment>
    <comment ref="AD11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PET</t>
        </r>
        <r>
          <rPr>
            <sz val="9"/>
            <color indexed="81"/>
            <rFont val="돋움"/>
            <family val="3"/>
            <charset val="129"/>
          </rPr>
          <t>에서</t>
        </r>
        <r>
          <rPr>
            <sz val="9"/>
            <color indexed="81"/>
            <rFont val="Tahoma"/>
            <family val="2"/>
          </rPr>
          <t xml:space="preserve"> SCL</t>
        </r>
        <r>
          <rPr>
            <sz val="9"/>
            <color indexed="81"/>
            <rFont val="돋움"/>
            <family val="3"/>
            <charset val="129"/>
          </rPr>
          <t>도</t>
        </r>
        <r>
          <rPr>
            <sz val="9"/>
            <color indexed="81"/>
            <rFont val="Tahoma"/>
            <family val="2"/>
          </rPr>
          <t xml:space="preserve"> </t>
        </r>
        <r>
          <rPr>
            <sz val="9"/>
            <color indexed="81"/>
            <rFont val="돋움"/>
            <family val="3"/>
            <charset val="129"/>
          </rPr>
          <t>의심되었지만</t>
        </r>
        <r>
          <rPr>
            <sz val="9"/>
            <color indexed="81"/>
            <rFont val="Tahoma"/>
            <family val="2"/>
          </rPr>
          <t xml:space="preserve"> biopsy </t>
        </r>
        <r>
          <rPr>
            <sz val="9"/>
            <color indexed="81"/>
            <rFont val="돋움"/>
            <family val="3"/>
            <charset val="129"/>
          </rPr>
          <t>결과</t>
        </r>
        <r>
          <rPr>
            <sz val="9"/>
            <color indexed="81"/>
            <rFont val="Tahoma"/>
            <family val="2"/>
          </rPr>
          <t xml:space="preserve"> negative</t>
        </r>
      </text>
    </comment>
    <comment ref="CK11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t>
        </r>
        <r>
          <rPr>
            <sz val="9"/>
            <color indexed="81"/>
            <rFont val="돋움"/>
            <family val="3"/>
            <charset val="129"/>
          </rPr>
          <t>받는</t>
        </r>
        <r>
          <rPr>
            <sz val="9"/>
            <color indexed="81"/>
            <rFont val="Tahoma"/>
            <family val="2"/>
          </rPr>
          <t xml:space="preserve"> </t>
        </r>
        <r>
          <rPr>
            <sz val="9"/>
            <color indexed="81"/>
            <rFont val="돋움"/>
            <family val="3"/>
            <charset val="129"/>
          </rPr>
          <t>동안</t>
        </r>
        <r>
          <rPr>
            <sz val="9"/>
            <color indexed="81"/>
            <rFont val="Tahoma"/>
            <family val="2"/>
          </rPr>
          <t xml:space="preserve"> lung nodule </t>
        </r>
        <r>
          <rPr>
            <sz val="9"/>
            <color indexed="81"/>
            <rFont val="돋움"/>
            <family val="3"/>
            <charset val="129"/>
          </rPr>
          <t>커졌고</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절제함</t>
        </r>
        <r>
          <rPr>
            <sz val="9"/>
            <color indexed="81"/>
            <rFont val="Tahoma"/>
            <family val="2"/>
          </rPr>
          <t xml:space="preserve">. SqCC </t>
        </r>
        <r>
          <rPr>
            <sz val="9"/>
            <color indexed="81"/>
            <rFont val="돋움"/>
            <family val="3"/>
            <charset val="129"/>
          </rPr>
          <t>확인됨</t>
        </r>
        <r>
          <rPr>
            <sz val="9"/>
            <color indexed="81"/>
            <rFont val="Tahoma"/>
            <family val="2"/>
          </rPr>
          <t>.</t>
        </r>
      </text>
    </comment>
    <comment ref="DI11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이후</t>
        </r>
        <r>
          <rPr>
            <sz val="9"/>
            <color indexed="81"/>
            <rFont val="Tahoma"/>
            <family val="2"/>
          </rPr>
          <t xml:space="preserve"> chemotherapy</t>
        </r>
        <r>
          <rPr>
            <sz val="9"/>
            <color indexed="81"/>
            <rFont val="돋움"/>
            <family val="3"/>
            <charset val="129"/>
          </rPr>
          <t>는</t>
        </r>
        <r>
          <rPr>
            <sz val="9"/>
            <color indexed="81"/>
            <rFont val="Tahoma"/>
            <family val="2"/>
          </rPr>
          <t xml:space="preserve"> </t>
        </r>
        <r>
          <rPr>
            <sz val="9"/>
            <color indexed="81"/>
            <rFont val="돋움"/>
            <family val="3"/>
            <charset val="129"/>
          </rPr>
          <t>시행하였으나</t>
        </r>
        <r>
          <rPr>
            <sz val="9"/>
            <color indexed="81"/>
            <rFont val="Tahoma"/>
            <family val="2"/>
          </rPr>
          <t>, palliiative aim</t>
        </r>
        <r>
          <rPr>
            <sz val="9"/>
            <color indexed="81"/>
            <rFont val="돋움"/>
            <family val="3"/>
            <charset val="129"/>
          </rPr>
          <t>이었다</t>
        </r>
        <r>
          <rPr>
            <sz val="9"/>
            <color indexed="81"/>
            <rFont val="Tahoma"/>
            <family val="2"/>
          </rPr>
          <t>.</t>
        </r>
      </text>
    </comment>
    <comment ref="AN11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superior </t>
        </r>
        <r>
          <rPr>
            <sz val="9"/>
            <color indexed="81"/>
            <rFont val="돋움"/>
            <family val="3"/>
            <charset val="129"/>
          </rPr>
          <t>방향</t>
        </r>
        <r>
          <rPr>
            <sz val="9"/>
            <color indexed="81"/>
            <rFont val="Tahoma"/>
            <family val="2"/>
          </rPr>
          <t xml:space="preserve"> CTV</t>
        </r>
        <r>
          <rPr>
            <sz val="9"/>
            <color indexed="81"/>
            <rFont val="돋움"/>
            <family val="3"/>
            <charset val="129"/>
          </rPr>
          <t>가</t>
        </r>
        <r>
          <rPr>
            <sz val="9"/>
            <color indexed="81"/>
            <rFont val="Tahoma"/>
            <family val="2"/>
          </rPr>
          <t xml:space="preserve"> </t>
        </r>
        <r>
          <rPr>
            <sz val="9"/>
            <color indexed="81"/>
            <rFont val="돋움"/>
            <family val="3"/>
            <charset val="129"/>
          </rPr>
          <t>정의된</t>
        </r>
        <r>
          <rPr>
            <sz val="9"/>
            <color indexed="81"/>
            <rFont val="Tahoma"/>
            <family val="2"/>
          </rPr>
          <t xml:space="preserve"> 2cm</t>
        </r>
        <r>
          <rPr>
            <sz val="9"/>
            <color indexed="81"/>
            <rFont val="돋움"/>
            <family val="3"/>
            <charset val="129"/>
          </rPr>
          <t>보다</t>
        </r>
        <r>
          <rPr>
            <sz val="9"/>
            <color indexed="81"/>
            <rFont val="Tahoma"/>
            <family val="2"/>
          </rPr>
          <t xml:space="preserve"> </t>
        </r>
        <r>
          <rPr>
            <sz val="9"/>
            <color indexed="81"/>
            <rFont val="돋움"/>
            <family val="3"/>
            <charset val="129"/>
          </rPr>
          <t>조금</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많다</t>
        </r>
        <r>
          <rPr>
            <sz val="9"/>
            <color indexed="81"/>
            <rFont val="Tahoma"/>
            <family val="2"/>
          </rPr>
          <t>. 3.xcm</t>
        </r>
        <r>
          <rPr>
            <sz val="9"/>
            <color indexed="81"/>
            <rFont val="돋움"/>
            <family val="3"/>
            <charset val="129"/>
          </rPr>
          <t>정도</t>
        </r>
        <r>
          <rPr>
            <sz val="9"/>
            <color indexed="81"/>
            <rFont val="Tahoma"/>
            <family val="2"/>
          </rPr>
          <t>? (</t>
        </r>
        <r>
          <rPr>
            <sz val="9"/>
            <color indexed="81"/>
            <rFont val="돋움"/>
            <family val="3"/>
            <charset val="129"/>
          </rPr>
          <t>그런데</t>
        </r>
        <r>
          <rPr>
            <sz val="9"/>
            <color indexed="81"/>
            <rFont val="Tahoma"/>
            <family val="2"/>
          </rPr>
          <t xml:space="preserve"> </t>
        </r>
        <r>
          <rPr>
            <sz val="9"/>
            <color indexed="81"/>
            <rFont val="돋움"/>
            <family val="3"/>
            <charset val="129"/>
          </rPr>
          <t>이걸</t>
        </r>
        <r>
          <rPr>
            <sz val="9"/>
            <color indexed="81"/>
            <rFont val="Tahoma"/>
            <family val="2"/>
          </rPr>
          <t xml:space="preserve"> elective field</t>
        </r>
        <r>
          <rPr>
            <sz val="9"/>
            <color indexed="81"/>
            <rFont val="돋움"/>
            <family val="3"/>
            <charset val="129"/>
          </rPr>
          <t>라고</t>
        </r>
        <r>
          <rPr>
            <sz val="9"/>
            <color indexed="81"/>
            <rFont val="Tahoma"/>
            <family val="2"/>
          </rPr>
          <t xml:space="preserve"> </t>
        </r>
        <r>
          <rPr>
            <sz val="9"/>
            <color indexed="81"/>
            <rFont val="돋움"/>
            <family val="3"/>
            <charset val="129"/>
          </rPr>
          <t>봐야할지</t>
        </r>
        <r>
          <rPr>
            <sz val="9"/>
            <color indexed="81"/>
            <rFont val="Tahoma"/>
            <family val="2"/>
          </rPr>
          <t>.)</t>
        </r>
      </text>
    </comment>
    <comment ref="BD11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AN117" authorId="0" shapeId="0">
      <text>
        <r>
          <rPr>
            <b/>
            <sz val="9"/>
            <color indexed="81"/>
            <rFont val="Tahoma"/>
            <family val="2"/>
          </rPr>
          <t xml:space="preserve">Windows </t>
        </r>
        <r>
          <rPr>
            <b/>
            <sz val="9"/>
            <color indexed="81"/>
            <rFont val="돋움"/>
            <family val="3"/>
            <charset val="129"/>
          </rPr>
          <t>사용자</t>
        </r>
        <r>
          <rPr>
            <b/>
            <sz val="9"/>
            <color indexed="81"/>
            <rFont val="Tahoma"/>
            <family val="2"/>
          </rPr>
          <t xml:space="preserve">:
</t>
        </r>
        <r>
          <rPr>
            <sz val="9"/>
            <color indexed="81"/>
            <rFont val="Tahoma"/>
            <family val="2"/>
          </rPr>
          <t>upper mediastinum</t>
        </r>
      </text>
    </comment>
    <comment ref="FW11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Aspiration tendency</t>
        </r>
        <r>
          <rPr>
            <sz val="9"/>
            <color indexed="81"/>
            <rFont val="돋움"/>
            <family val="3"/>
            <charset val="129"/>
          </rPr>
          <t>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검사하였는데</t>
        </r>
        <r>
          <rPr>
            <sz val="9"/>
            <color indexed="81"/>
            <rFont val="Tahoma"/>
            <family val="2"/>
          </rPr>
          <t xml:space="preserve"> gastrobronchial fistula</t>
        </r>
        <r>
          <rPr>
            <sz val="9"/>
            <color indexed="81"/>
            <rFont val="돋움"/>
            <family val="3"/>
            <charset val="129"/>
          </rPr>
          <t>가</t>
        </r>
        <r>
          <rPr>
            <sz val="9"/>
            <color indexed="81"/>
            <rFont val="Tahoma"/>
            <family val="2"/>
          </rPr>
          <t xml:space="preserve"> gastric ulcer</t>
        </r>
        <r>
          <rPr>
            <sz val="9"/>
            <color indexed="81"/>
            <rFont val="돋움"/>
            <family val="3"/>
            <charset val="129"/>
          </rPr>
          <t>에</t>
        </r>
        <r>
          <rPr>
            <sz val="9"/>
            <color indexed="81"/>
            <rFont val="Tahoma"/>
            <family val="2"/>
          </rPr>
          <t xml:space="preserve"> </t>
        </r>
        <r>
          <rPr>
            <sz val="9"/>
            <color indexed="81"/>
            <rFont val="돋움"/>
            <family val="3"/>
            <charset val="129"/>
          </rPr>
          <t>동반됨</t>
        </r>
        <r>
          <rPr>
            <sz val="9"/>
            <color indexed="81"/>
            <rFont val="Tahoma"/>
            <family val="2"/>
          </rPr>
          <t xml:space="preserve">. </t>
        </r>
        <r>
          <rPr>
            <sz val="9"/>
            <color indexed="81"/>
            <rFont val="돋움"/>
            <family val="3"/>
            <charset val="129"/>
          </rPr>
          <t>수술</t>
        </r>
        <r>
          <rPr>
            <sz val="9"/>
            <color indexed="81"/>
            <rFont val="Tahoma"/>
            <family val="2"/>
          </rPr>
          <t xml:space="preserve"> </t>
        </r>
        <r>
          <rPr>
            <sz val="9"/>
            <color indexed="81"/>
            <rFont val="돋움"/>
            <family val="3"/>
            <charset val="129"/>
          </rPr>
          <t>예정이었다가</t>
        </r>
        <r>
          <rPr>
            <sz val="9"/>
            <color indexed="81"/>
            <rFont val="Tahoma"/>
            <family val="2"/>
          </rPr>
          <t xml:space="preserve"> </t>
        </r>
        <r>
          <rPr>
            <sz val="9"/>
            <color indexed="81"/>
            <rFont val="돋움"/>
            <family val="3"/>
            <charset val="129"/>
          </rPr>
          <t>취소한</t>
        </r>
        <r>
          <rPr>
            <sz val="9"/>
            <color indexed="81"/>
            <rFont val="Tahoma"/>
            <family val="2"/>
          </rPr>
          <t xml:space="preserve"> </t>
        </r>
        <r>
          <rPr>
            <sz val="9"/>
            <color indexed="81"/>
            <rFont val="돋움"/>
            <family val="3"/>
            <charset val="129"/>
          </rPr>
          <t>상황임</t>
        </r>
        <r>
          <rPr>
            <sz val="9"/>
            <color indexed="81"/>
            <rFont val="Tahoma"/>
            <family val="2"/>
          </rPr>
          <t>.</t>
        </r>
      </text>
    </comment>
    <comment ref="BC11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Periesophageal LN</t>
        </r>
        <r>
          <rPr>
            <sz val="9"/>
            <color indexed="81"/>
            <rFont val="돋움"/>
            <family val="3"/>
            <charset val="129"/>
          </rPr>
          <t>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것으로</t>
        </r>
        <r>
          <rPr>
            <sz val="9"/>
            <color indexed="81"/>
            <rFont val="Tahoma"/>
            <family val="2"/>
          </rPr>
          <t>, elective coverage</t>
        </r>
        <r>
          <rPr>
            <sz val="9"/>
            <color indexed="81"/>
            <rFont val="돋움"/>
            <family val="3"/>
            <charset val="129"/>
          </rPr>
          <t>가</t>
        </r>
        <r>
          <rPr>
            <sz val="9"/>
            <color indexed="81"/>
            <rFont val="Tahoma"/>
            <family val="2"/>
          </rPr>
          <t xml:space="preserve"> </t>
        </r>
        <r>
          <rPr>
            <sz val="9"/>
            <color indexed="81"/>
            <rFont val="돋움"/>
            <family val="3"/>
            <charset val="129"/>
          </rPr>
          <t>아니다</t>
        </r>
        <r>
          <rPr>
            <sz val="9"/>
            <color indexed="81"/>
            <rFont val="Tahoma"/>
            <family val="2"/>
          </rPr>
          <t>.</t>
        </r>
      </text>
    </comment>
    <comment ref="BD11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r>
          <rPr>
            <sz val="9"/>
            <color indexed="81"/>
            <rFont val="돋움"/>
            <family val="3"/>
            <charset val="129"/>
          </rPr>
          <t>로</t>
        </r>
        <r>
          <rPr>
            <sz val="9"/>
            <color indexed="81"/>
            <rFont val="Tahoma"/>
            <family val="2"/>
          </rPr>
          <t xml:space="preserve"> </t>
        </r>
        <r>
          <rPr>
            <sz val="9"/>
            <color indexed="81"/>
            <rFont val="돋움"/>
            <family val="3"/>
            <charset val="129"/>
          </rPr>
          <t>인해</t>
        </r>
        <r>
          <rPr>
            <sz val="9"/>
            <color indexed="81"/>
            <rFont val="Tahoma"/>
            <family val="2"/>
          </rPr>
          <t xml:space="preserve"> </t>
        </r>
        <r>
          <rPr>
            <sz val="9"/>
            <color indexed="81"/>
            <rFont val="돋움"/>
            <family val="3"/>
            <charset val="129"/>
          </rPr>
          <t>제한</t>
        </r>
      </text>
    </comment>
    <comment ref="AN11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솔직히</t>
        </r>
        <r>
          <rPr>
            <sz val="9"/>
            <color indexed="81"/>
            <rFont val="Tahoma"/>
            <family val="2"/>
          </rPr>
          <t xml:space="preserve"> SI 4cm </t>
        </r>
        <r>
          <rPr>
            <sz val="9"/>
            <color indexed="81"/>
            <rFont val="돋움"/>
            <family val="3"/>
            <charset val="129"/>
          </rPr>
          <t>기술</t>
        </r>
        <r>
          <rPr>
            <sz val="9"/>
            <color indexed="81"/>
            <rFont val="Tahoma"/>
            <family val="2"/>
          </rPr>
          <t xml:space="preserve"> </t>
        </r>
        <r>
          <rPr>
            <sz val="9"/>
            <color indexed="81"/>
            <rFont val="돋움"/>
            <family val="3"/>
            <charset val="129"/>
          </rPr>
          <t>아니었으면</t>
        </r>
        <r>
          <rPr>
            <sz val="9"/>
            <color indexed="81"/>
            <rFont val="Tahoma"/>
            <family val="2"/>
          </rPr>
          <t xml:space="preserve"> </t>
        </r>
        <r>
          <rPr>
            <sz val="9"/>
            <color indexed="81"/>
            <rFont val="돋움"/>
            <family val="3"/>
            <charset val="129"/>
          </rPr>
          <t>이것도</t>
        </r>
        <r>
          <rPr>
            <sz val="9"/>
            <color indexed="81"/>
            <rFont val="Tahoma"/>
            <family val="2"/>
          </rPr>
          <t xml:space="preserve"> elective</t>
        </r>
        <r>
          <rPr>
            <sz val="9"/>
            <color indexed="81"/>
            <rFont val="돋움"/>
            <family val="3"/>
            <charset val="129"/>
          </rPr>
          <t>라고</t>
        </r>
        <r>
          <rPr>
            <sz val="9"/>
            <color indexed="81"/>
            <rFont val="Tahoma"/>
            <family val="2"/>
          </rPr>
          <t xml:space="preserve"> </t>
        </r>
        <r>
          <rPr>
            <sz val="9"/>
            <color indexed="81"/>
            <rFont val="돋움"/>
            <family val="3"/>
            <charset val="129"/>
          </rPr>
          <t>분류했다</t>
        </r>
        <r>
          <rPr>
            <sz val="9"/>
            <color indexed="81"/>
            <rFont val="Tahoma"/>
            <family val="2"/>
          </rPr>
          <t>.</t>
        </r>
      </text>
    </comment>
    <comment ref="CY11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누락</t>
        </r>
        <r>
          <rPr>
            <sz val="9"/>
            <color indexed="81"/>
            <rFont val="Tahoma"/>
            <family val="2"/>
          </rPr>
          <t xml:space="preserve">. </t>
        </r>
        <r>
          <rPr>
            <sz val="9"/>
            <color indexed="81"/>
            <rFont val="돋움"/>
            <family val="3"/>
            <charset val="129"/>
          </rPr>
          <t>일단</t>
        </r>
        <r>
          <rPr>
            <sz val="9"/>
            <color indexed="81"/>
            <rFont val="Tahoma"/>
            <family val="2"/>
          </rPr>
          <t xml:space="preserve"> margin negative</t>
        </r>
        <r>
          <rPr>
            <sz val="9"/>
            <color indexed="81"/>
            <rFont val="돋움"/>
            <family val="3"/>
            <charset val="129"/>
          </rPr>
          <t>는</t>
        </r>
        <r>
          <rPr>
            <sz val="9"/>
            <color indexed="81"/>
            <rFont val="Tahoma"/>
            <family val="2"/>
          </rPr>
          <t xml:space="preserve"> </t>
        </r>
        <r>
          <rPr>
            <sz val="9"/>
            <color indexed="81"/>
            <rFont val="돋움"/>
            <family val="3"/>
            <charset val="129"/>
          </rPr>
          <t>맞다</t>
        </r>
        <r>
          <rPr>
            <sz val="9"/>
            <color indexed="81"/>
            <rFont val="Tahoma"/>
            <family val="2"/>
          </rPr>
          <t>.</t>
        </r>
      </text>
    </comment>
    <comment ref="DV11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10R, 11R LN enlargement</t>
        </r>
        <r>
          <rPr>
            <sz val="9"/>
            <color indexed="81"/>
            <rFont val="돋움"/>
            <family val="3"/>
            <charset val="129"/>
          </rPr>
          <t>도</t>
        </r>
        <r>
          <rPr>
            <sz val="9"/>
            <color indexed="81"/>
            <rFont val="Tahoma"/>
            <family val="2"/>
          </rPr>
          <t xml:space="preserve"> </t>
        </r>
        <r>
          <rPr>
            <sz val="9"/>
            <color indexed="81"/>
            <rFont val="돋움"/>
            <family val="3"/>
            <charset val="129"/>
          </rPr>
          <t>있었다</t>
        </r>
        <r>
          <rPr>
            <sz val="9"/>
            <color indexed="81"/>
            <rFont val="Tahoma"/>
            <family val="2"/>
          </rPr>
          <t>. Regional</t>
        </r>
        <r>
          <rPr>
            <sz val="9"/>
            <color indexed="81"/>
            <rFont val="돋움"/>
            <family val="3"/>
            <charset val="129"/>
          </rPr>
          <t>로</t>
        </r>
        <r>
          <rPr>
            <sz val="9"/>
            <color indexed="81"/>
            <rFont val="Tahoma"/>
            <family val="2"/>
          </rPr>
          <t xml:space="preserve"> </t>
        </r>
        <r>
          <rPr>
            <sz val="9"/>
            <color indexed="81"/>
            <rFont val="돋움"/>
            <family val="3"/>
            <charset val="129"/>
          </rPr>
          <t>봐야</t>
        </r>
        <r>
          <rPr>
            <sz val="9"/>
            <color indexed="81"/>
            <rFont val="Tahoma"/>
            <family val="2"/>
          </rPr>
          <t xml:space="preserve"> </t>
        </r>
        <r>
          <rPr>
            <sz val="9"/>
            <color indexed="81"/>
            <rFont val="돋움"/>
            <family val="3"/>
            <charset val="129"/>
          </rPr>
          <t>하는지는</t>
        </r>
        <r>
          <rPr>
            <sz val="9"/>
            <color indexed="81"/>
            <rFont val="Tahoma"/>
            <family val="2"/>
          </rPr>
          <t xml:space="preserve"> </t>
        </r>
        <r>
          <rPr>
            <sz val="9"/>
            <color indexed="81"/>
            <rFont val="돋움"/>
            <family val="3"/>
            <charset val="129"/>
          </rPr>
          <t>애매하다만</t>
        </r>
        <r>
          <rPr>
            <sz val="9"/>
            <color indexed="81"/>
            <rFont val="Tahoma"/>
            <family val="2"/>
          </rPr>
          <t>.</t>
        </r>
      </text>
    </comment>
    <comment ref="CZ12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중</t>
        </r>
        <r>
          <rPr>
            <sz val="9"/>
            <color indexed="81"/>
            <rFont val="Tahoma"/>
            <family val="2"/>
          </rPr>
          <t xml:space="preserve"> Rt neck level 4</t>
        </r>
        <r>
          <rPr>
            <sz val="9"/>
            <color indexed="81"/>
            <rFont val="돋움"/>
            <family val="3"/>
            <charset val="129"/>
          </rPr>
          <t>에서</t>
        </r>
        <r>
          <rPr>
            <sz val="9"/>
            <color indexed="81"/>
            <rFont val="Tahoma"/>
            <family val="2"/>
          </rPr>
          <t xml:space="preserve"> 3</t>
        </r>
        <r>
          <rPr>
            <sz val="9"/>
            <color indexed="81"/>
            <rFont val="돋움"/>
            <family val="3"/>
            <charset val="129"/>
          </rPr>
          <t>개</t>
        </r>
      </text>
    </comment>
    <comment ref="DF12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high grade dysplasia</t>
        </r>
      </text>
    </comment>
    <comment ref="DI12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 FP #3/#4</t>
        </r>
      </text>
    </comment>
    <comment ref="AN12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carina </t>
        </r>
        <r>
          <rPr>
            <sz val="9"/>
            <color indexed="81"/>
            <rFont val="돋움"/>
            <family val="3"/>
            <charset val="129"/>
          </rPr>
          <t>아래</t>
        </r>
        <r>
          <rPr>
            <sz val="9"/>
            <color indexed="81"/>
            <rFont val="Tahoma"/>
            <family val="2"/>
          </rPr>
          <t xml:space="preserve"> lower mediastinum</t>
        </r>
        <r>
          <rPr>
            <sz val="9"/>
            <color indexed="81"/>
            <rFont val="돋움"/>
            <family val="3"/>
            <charset val="129"/>
          </rPr>
          <t>을</t>
        </r>
        <r>
          <rPr>
            <sz val="9"/>
            <color indexed="81"/>
            <rFont val="Tahoma"/>
            <family val="2"/>
          </rPr>
          <t xml:space="preserve"> </t>
        </r>
        <r>
          <rPr>
            <sz val="9"/>
            <color indexed="81"/>
            <rFont val="돋움"/>
            <family val="3"/>
            <charset val="129"/>
          </rPr>
          <t>포함함</t>
        </r>
      </text>
    </comment>
    <comment ref="AU12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superior 2, inferior 1.5cm</t>
        </r>
      </text>
    </comment>
    <comment ref="CC121" authorId="1" shapeId="0">
      <text>
        <r>
          <rPr>
            <b/>
            <sz val="9"/>
            <color rgb="FF000000"/>
            <rFont val="Tahoma"/>
            <family val="2"/>
          </rPr>
          <t>SNUH:</t>
        </r>
        <r>
          <rPr>
            <sz val="9"/>
            <color rgb="FF000000"/>
            <rFont val="Tahoma"/>
            <family val="2"/>
          </rPr>
          <t xml:space="preserve">
</t>
        </r>
        <r>
          <rPr>
            <sz val="9"/>
            <color rgb="FF000000"/>
            <rFont val="Tahoma"/>
            <family val="2"/>
          </rPr>
          <t xml:space="preserve">o/s PET, </t>
        </r>
        <r>
          <rPr>
            <sz val="9"/>
            <color rgb="FF000000"/>
            <rFont val="돋움"/>
            <family val="2"/>
            <charset val="129"/>
          </rPr>
          <t>판독지</t>
        </r>
        <r>
          <rPr>
            <sz val="9"/>
            <color rgb="FF000000"/>
            <rFont val="Tahoma"/>
            <family val="2"/>
          </rPr>
          <t xml:space="preserve"> </t>
        </r>
        <r>
          <rPr>
            <sz val="9"/>
            <color rgb="FF000000"/>
            <rFont val="돋움"/>
            <family val="2"/>
            <charset val="129"/>
          </rPr>
          <t>없음</t>
        </r>
      </text>
    </comment>
    <comment ref="CD121" authorId="1" shapeId="0">
      <text>
        <r>
          <rPr>
            <b/>
            <sz val="9"/>
            <color indexed="81"/>
            <rFont val="Tahoma"/>
            <family val="2"/>
          </rPr>
          <t>SNUH:</t>
        </r>
        <r>
          <rPr>
            <sz val="9"/>
            <color indexed="81"/>
            <rFont val="Tahoma"/>
            <family val="2"/>
          </rPr>
          <t xml:space="preserve">
"No visuallized lesion in the esophagus"</t>
        </r>
      </text>
    </comment>
    <comment ref="FS12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2016/2/3 </t>
        </r>
        <r>
          <rPr>
            <sz val="9"/>
            <color indexed="81"/>
            <rFont val="돋움"/>
            <family val="3"/>
            <charset val="129"/>
          </rPr>
          <t>종양내과</t>
        </r>
        <r>
          <rPr>
            <sz val="9"/>
            <color indexed="81"/>
            <rFont val="Tahoma"/>
            <family val="2"/>
          </rPr>
          <t xml:space="preserve"> </t>
        </r>
        <r>
          <rPr>
            <sz val="9"/>
            <color indexed="81"/>
            <rFont val="돋움"/>
            <family val="3"/>
            <charset val="129"/>
          </rPr>
          <t>기록에</t>
        </r>
        <r>
          <rPr>
            <sz val="9"/>
            <color indexed="81"/>
            <rFont val="Tahoma"/>
            <family val="2"/>
          </rPr>
          <t xml:space="preserve"> RT esophagitis+ </t>
        </r>
        <r>
          <rPr>
            <sz val="9"/>
            <color indexed="81"/>
            <rFont val="돋움"/>
            <family val="3"/>
            <charset val="129"/>
          </rPr>
          <t>기록</t>
        </r>
        <r>
          <rPr>
            <sz val="9"/>
            <color indexed="81"/>
            <rFont val="Tahoma"/>
            <family val="2"/>
          </rPr>
          <t xml:space="preserve"> </t>
        </r>
        <r>
          <rPr>
            <sz val="9"/>
            <color indexed="81"/>
            <rFont val="돋움"/>
            <family val="3"/>
            <charset val="129"/>
          </rPr>
          <t>있으나</t>
        </r>
        <r>
          <rPr>
            <sz val="9"/>
            <color indexed="81"/>
            <rFont val="Tahoma"/>
            <family val="2"/>
          </rPr>
          <t xml:space="preserve"> </t>
        </r>
        <r>
          <rPr>
            <sz val="9"/>
            <color indexed="81"/>
            <rFont val="돋움"/>
            <family val="3"/>
            <charset val="129"/>
          </rPr>
          <t>아마</t>
        </r>
        <r>
          <rPr>
            <sz val="9"/>
            <color indexed="81"/>
            <rFont val="Tahoma"/>
            <family val="2"/>
          </rPr>
          <t xml:space="preserve"> </t>
        </r>
        <r>
          <rPr>
            <sz val="9"/>
            <color indexed="81"/>
            <rFont val="돋움"/>
            <family val="3"/>
            <charset val="129"/>
          </rPr>
          <t>회복되는</t>
        </r>
        <r>
          <rPr>
            <sz val="9"/>
            <color indexed="81"/>
            <rFont val="Tahoma"/>
            <family val="2"/>
          </rPr>
          <t xml:space="preserve"> </t>
        </r>
        <r>
          <rPr>
            <sz val="9"/>
            <color indexed="81"/>
            <rFont val="돋움"/>
            <family val="3"/>
            <charset val="129"/>
          </rPr>
          <t>중에</t>
        </r>
        <r>
          <rPr>
            <sz val="9"/>
            <color indexed="81"/>
            <rFont val="Tahoma"/>
            <family val="2"/>
          </rPr>
          <t xml:space="preserve"> </t>
        </r>
        <r>
          <rPr>
            <sz val="9"/>
            <color indexed="81"/>
            <rFont val="돋움"/>
            <family val="3"/>
            <charset val="129"/>
          </rPr>
          <t>있지</t>
        </r>
        <r>
          <rPr>
            <sz val="9"/>
            <color indexed="81"/>
            <rFont val="Tahoma"/>
            <family val="2"/>
          </rPr>
          <t xml:space="preserve"> </t>
        </r>
        <r>
          <rPr>
            <sz val="9"/>
            <color indexed="81"/>
            <rFont val="돋움"/>
            <family val="3"/>
            <charset val="129"/>
          </rPr>
          <t>않았을까</t>
        </r>
      </text>
    </comment>
    <comment ref="FT12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2016/7/13 </t>
        </r>
        <r>
          <rPr>
            <sz val="9"/>
            <color indexed="81"/>
            <rFont val="돋움"/>
            <family val="3"/>
            <charset val="129"/>
          </rPr>
          <t>흉부외과</t>
        </r>
      </text>
    </comment>
    <comment ref="AN12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 LN</t>
        </r>
        <r>
          <rPr>
            <sz val="9"/>
            <color indexed="81"/>
            <rFont val="돋움"/>
            <family val="3"/>
            <charset val="129"/>
          </rPr>
          <t>이</t>
        </r>
        <r>
          <rPr>
            <sz val="9"/>
            <color indexed="81"/>
            <rFont val="Tahoma"/>
            <family val="2"/>
          </rPr>
          <t xml:space="preserve"> </t>
        </r>
        <r>
          <rPr>
            <sz val="9"/>
            <color indexed="81"/>
            <rFont val="돋움"/>
            <family val="3"/>
            <charset val="129"/>
          </rPr>
          <t>있기는</t>
        </r>
        <r>
          <rPr>
            <sz val="9"/>
            <color indexed="81"/>
            <rFont val="Tahoma"/>
            <family val="2"/>
          </rPr>
          <t xml:space="preserve"> </t>
        </r>
        <r>
          <rPr>
            <sz val="9"/>
            <color indexed="81"/>
            <rFont val="돋움"/>
            <family val="3"/>
            <charset val="129"/>
          </rPr>
          <t>한데</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위쪽으로</t>
        </r>
        <r>
          <rPr>
            <sz val="9"/>
            <color indexed="81"/>
            <rFont val="Tahoma"/>
            <family val="2"/>
          </rPr>
          <t xml:space="preserve"> </t>
        </r>
        <r>
          <rPr>
            <sz val="9"/>
            <color indexed="81"/>
            <rFont val="돋움"/>
            <family val="3"/>
            <charset val="129"/>
          </rPr>
          <t>한참을</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그렸다</t>
        </r>
        <r>
          <rPr>
            <sz val="9"/>
            <color indexed="81"/>
            <rFont val="Tahoma"/>
            <family val="2"/>
          </rPr>
          <t>.</t>
        </r>
      </text>
    </comment>
    <comment ref="AU12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 2cm, inf 1.5cm</t>
        </r>
      </text>
    </comment>
    <comment ref="BC12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가운데</t>
        </r>
        <r>
          <rPr>
            <sz val="9"/>
            <color indexed="81"/>
            <rFont val="Tahoma"/>
            <family val="2"/>
          </rPr>
          <t xml:space="preserve"> </t>
        </r>
        <r>
          <rPr>
            <sz val="9"/>
            <color indexed="81"/>
            <rFont val="돋움"/>
            <family val="3"/>
            <charset val="129"/>
          </rPr>
          <t>비는</t>
        </r>
        <r>
          <rPr>
            <sz val="9"/>
            <color indexed="81"/>
            <rFont val="Tahoma"/>
            <family val="2"/>
          </rPr>
          <t xml:space="preserve"> </t>
        </r>
        <r>
          <rPr>
            <sz val="9"/>
            <color indexed="81"/>
            <rFont val="돋움"/>
            <family val="3"/>
            <charset val="129"/>
          </rPr>
          <t>부분</t>
        </r>
        <r>
          <rPr>
            <sz val="9"/>
            <color indexed="81"/>
            <rFont val="Tahoma"/>
            <family val="2"/>
          </rPr>
          <t xml:space="preserve"> </t>
        </r>
        <r>
          <rPr>
            <sz val="9"/>
            <color indexed="81"/>
            <rFont val="돋움"/>
            <family val="3"/>
            <charset val="129"/>
          </rPr>
          <t>있음</t>
        </r>
        <r>
          <rPr>
            <sz val="9"/>
            <color indexed="81"/>
            <rFont val="Tahoma"/>
            <family val="2"/>
          </rPr>
          <t>.</t>
        </r>
      </text>
    </comment>
    <comment ref="BD12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FS12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2016/5/11 </t>
        </r>
        <r>
          <rPr>
            <sz val="9"/>
            <color indexed="81"/>
            <rFont val="돋움"/>
            <family val="3"/>
            <charset val="129"/>
          </rPr>
          <t>흉부외과</t>
        </r>
        <r>
          <rPr>
            <sz val="9"/>
            <color indexed="81"/>
            <rFont val="Tahoma"/>
            <family val="2"/>
          </rPr>
          <t xml:space="preserve"> </t>
        </r>
        <r>
          <rPr>
            <sz val="9"/>
            <color indexed="81"/>
            <rFont val="돋움"/>
            <family val="3"/>
            <charset val="129"/>
          </rPr>
          <t>외래</t>
        </r>
        <r>
          <rPr>
            <sz val="9"/>
            <color indexed="81"/>
            <rFont val="Tahoma"/>
            <family val="2"/>
          </rPr>
          <t xml:space="preserve"> -&gt; anycough </t>
        </r>
        <r>
          <rPr>
            <sz val="9"/>
            <color indexed="81"/>
            <rFont val="돋움"/>
            <family val="3"/>
            <charset val="129"/>
          </rPr>
          <t>처방</t>
        </r>
      </text>
    </comment>
    <comment ref="FT12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2017/8/16, 2018/11/28, 2019/5/29 </t>
        </r>
        <r>
          <rPr>
            <sz val="9"/>
            <color indexed="81"/>
            <rFont val="돋움"/>
            <family val="3"/>
            <charset val="129"/>
          </rPr>
          <t>흉부외과</t>
        </r>
        <r>
          <rPr>
            <sz val="9"/>
            <color indexed="81"/>
            <rFont val="Tahoma"/>
            <family val="2"/>
          </rPr>
          <t xml:space="preserve"> </t>
        </r>
        <r>
          <rPr>
            <sz val="9"/>
            <color indexed="81"/>
            <rFont val="돋움"/>
            <family val="3"/>
            <charset val="129"/>
          </rPr>
          <t>외래</t>
        </r>
      </text>
    </comment>
    <comment ref="Z12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N1</t>
        </r>
        <r>
          <rPr>
            <sz val="9"/>
            <color indexed="81"/>
            <rFont val="돋움"/>
            <family val="3"/>
            <charset val="129"/>
          </rPr>
          <t>이라고</t>
        </r>
        <r>
          <rPr>
            <sz val="9"/>
            <color indexed="81"/>
            <rFont val="Tahoma"/>
            <family val="2"/>
          </rPr>
          <t xml:space="preserve"> </t>
        </r>
        <r>
          <rPr>
            <sz val="9"/>
            <color indexed="81"/>
            <rFont val="돋움"/>
            <family val="3"/>
            <charset val="129"/>
          </rPr>
          <t>적기는</t>
        </r>
        <r>
          <rPr>
            <sz val="9"/>
            <color indexed="81"/>
            <rFont val="Tahoma"/>
            <family val="2"/>
          </rPr>
          <t xml:space="preserve"> </t>
        </r>
        <r>
          <rPr>
            <sz val="9"/>
            <color indexed="81"/>
            <rFont val="돋움"/>
            <family val="3"/>
            <charset val="129"/>
          </rPr>
          <t>했는데</t>
        </r>
        <r>
          <rPr>
            <sz val="9"/>
            <color indexed="81"/>
            <rFont val="Tahoma"/>
            <family val="2"/>
          </rPr>
          <t xml:space="preserve"> </t>
        </r>
        <r>
          <rPr>
            <sz val="9"/>
            <color indexed="81"/>
            <rFont val="돋움"/>
            <family val="3"/>
            <charset val="129"/>
          </rPr>
          <t>아무래도</t>
        </r>
        <r>
          <rPr>
            <sz val="9"/>
            <color indexed="81"/>
            <rFont val="Tahoma"/>
            <family val="2"/>
          </rPr>
          <t xml:space="preserve"> regional LN 3</t>
        </r>
        <r>
          <rPr>
            <sz val="9"/>
            <color indexed="81"/>
            <rFont val="돋움"/>
            <family val="3"/>
            <charset val="129"/>
          </rPr>
          <t>개</t>
        </r>
        <r>
          <rPr>
            <sz val="9"/>
            <color indexed="81"/>
            <rFont val="Tahoma"/>
            <family val="2"/>
          </rPr>
          <t xml:space="preserve"> </t>
        </r>
        <r>
          <rPr>
            <sz val="9"/>
            <color indexed="81"/>
            <rFont val="돋움"/>
            <family val="3"/>
            <charset val="129"/>
          </rPr>
          <t>이상인</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같지</t>
        </r>
        <r>
          <rPr>
            <sz val="9"/>
            <color indexed="81"/>
            <rFont val="Tahoma"/>
            <family val="2"/>
          </rPr>
          <t xml:space="preserve"> </t>
        </r>
        <r>
          <rPr>
            <sz val="9"/>
            <color indexed="81"/>
            <rFont val="돋움"/>
            <family val="3"/>
            <charset val="129"/>
          </rPr>
          <t>않아</t>
        </r>
        <r>
          <rPr>
            <sz val="9"/>
            <color indexed="81"/>
            <rFont val="Tahoma"/>
            <family val="2"/>
          </rPr>
          <t>?</t>
        </r>
      </text>
    </comment>
    <comment ref="AD12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right lower neck</t>
        </r>
        <r>
          <rPr>
            <sz val="9"/>
            <color indexed="81"/>
            <rFont val="돋움"/>
            <family val="3"/>
            <charset val="129"/>
          </rPr>
          <t>부분의</t>
        </r>
        <r>
          <rPr>
            <sz val="9"/>
            <color indexed="81"/>
            <rFont val="Tahoma"/>
            <family val="2"/>
          </rPr>
          <t xml:space="preserve"> </t>
        </r>
        <r>
          <rPr>
            <sz val="9"/>
            <color indexed="81"/>
            <rFont val="돋움"/>
            <family val="3"/>
            <charset val="129"/>
          </rPr>
          <t>경우에는</t>
        </r>
        <r>
          <rPr>
            <sz val="9"/>
            <color indexed="81"/>
            <rFont val="Tahoma"/>
            <family val="2"/>
          </rPr>
          <t xml:space="preserve"> upper paraesophageal</t>
        </r>
        <r>
          <rPr>
            <sz val="9"/>
            <color indexed="81"/>
            <rFont val="돋움"/>
            <family val="3"/>
            <charset val="129"/>
          </rPr>
          <t>로</t>
        </r>
        <r>
          <rPr>
            <sz val="9"/>
            <color indexed="81"/>
            <rFont val="Tahoma"/>
            <family val="2"/>
          </rPr>
          <t xml:space="preserve"> </t>
        </r>
        <r>
          <rPr>
            <sz val="9"/>
            <color indexed="81"/>
            <rFont val="돋움"/>
            <family val="3"/>
            <charset val="129"/>
          </rPr>
          <t>볼</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있다고</t>
        </r>
        <r>
          <rPr>
            <sz val="9"/>
            <color indexed="81"/>
            <rFont val="Tahoma"/>
            <family val="2"/>
          </rPr>
          <t xml:space="preserve"> </t>
        </r>
        <r>
          <rPr>
            <sz val="9"/>
            <color indexed="81"/>
            <rFont val="돋움"/>
            <family val="3"/>
            <charset val="129"/>
          </rPr>
          <t>판단하여</t>
        </r>
        <r>
          <rPr>
            <sz val="9"/>
            <color indexed="81"/>
            <rFont val="Tahoma"/>
            <family val="2"/>
          </rPr>
          <t xml:space="preserve"> M0</t>
        </r>
        <r>
          <rPr>
            <sz val="9"/>
            <color indexed="81"/>
            <rFont val="돋움"/>
            <family val="3"/>
            <charset val="129"/>
          </rPr>
          <t>로</t>
        </r>
        <r>
          <rPr>
            <sz val="9"/>
            <color indexed="81"/>
            <rFont val="Tahoma"/>
            <family val="2"/>
          </rPr>
          <t xml:space="preserve"> </t>
        </r>
        <r>
          <rPr>
            <sz val="9"/>
            <color indexed="81"/>
            <rFont val="돋움"/>
            <family val="3"/>
            <charset val="129"/>
          </rPr>
          <t>적었다</t>
        </r>
        <r>
          <rPr>
            <sz val="9"/>
            <color indexed="81"/>
            <rFont val="Tahoma"/>
            <family val="2"/>
          </rPr>
          <t xml:space="preserve"> --&gt; </t>
        </r>
        <r>
          <rPr>
            <sz val="9"/>
            <color indexed="81"/>
            <rFont val="돋움"/>
            <family val="3"/>
            <charset val="129"/>
          </rPr>
          <t>아무래도</t>
        </r>
        <r>
          <rPr>
            <sz val="9"/>
            <color indexed="81"/>
            <rFont val="Tahoma"/>
            <family val="2"/>
          </rPr>
          <t xml:space="preserve"> Rt lower neck </t>
        </r>
        <r>
          <rPr>
            <sz val="9"/>
            <color indexed="81"/>
            <rFont val="돋움"/>
            <family val="3"/>
            <charset val="129"/>
          </rPr>
          <t>부분은</t>
        </r>
        <r>
          <rPr>
            <sz val="9"/>
            <color indexed="81"/>
            <rFont val="Tahoma"/>
            <family val="2"/>
          </rPr>
          <t xml:space="preserve"> epicenter</t>
        </r>
        <r>
          <rPr>
            <sz val="9"/>
            <color indexed="81"/>
            <rFont val="돋움"/>
            <family val="3"/>
            <charset val="129"/>
          </rPr>
          <t>을</t>
        </r>
        <r>
          <rPr>
            <sz val="9"/>
            <color indexed="81"/>
            <rFont val="Tahoma"/>
            <family val="2"/>
          </rPr>
          <t xml:space="preserve"> SCL</t>
        </r>
        <r>
          <rPr>
            <sz val="9"/>
            <color indexed="81"/>
            <rFont val="돋움"/>
            <family val="3"/>
            <charset val="129"/>
          </rPr>
          <t>로</t>
        </r>
        <r>
          <rPr>
            <sz val="9"/>
            <color indexed="81"/>
            <rFont val="Tahoma"/>
            <family val="2"/>
          </rPr>
          <t xml:space="preserve"> </t>
        </r>
        <r>
          <rPr>
            <sz val="9"/>
            <color indexed="81"/>
            <rFont val="돋움"/>
            <family val="3"/>
            <charset val="129"/>
          </rPr>
          <t>봐야할</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같다</t>
        </r>
        <r>
          <rPr>
            <sz val="9"/>
            <color indexed="81"/>
            <rFont val="Tahoma"/>
            <family val="2"/>
          </rPr>
          <t>.</t>
        </r>
      </text>
    </comment>
    <comment ref="AO12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SCL </t>
        </r>
        <r>
          <rPr>
            <sz val="9"/>
            <color indexed="81"/>
            <rFont val="돋움"/>
            <family val="3"/>
            <charset val="129"/>
          </rPr>
          <t>포함</t>
        </r>
        <r>
          <rPr>
            <sz val="9"/>
            <color indexed="81"/>
            <rFont val="Tahoma"/>
            <family val="2"/>
          </rPr>
          <t>. Rt</t>
        </r>
        <r>
          <rPr>
            <sz val="9"/>
            <color indexed="81"/>
            <rFont val="돋움"/>
            <family val="3"/>
            <charset val="129"/>
          </rPr>
          <t>는</t>
        </r>
        <r>
          <rPr>
            <sz val="9"/>
            <color indexed="81"/>
            <rFont val="Tahoma"/>
            <family val="2"/>
          </rPr>
          <t xml:space="preserve"> </t>
        </r>
        <r>
          <rPr>
            <sz val="9"/>
            <color indexed="81"/>
            <rFont val="돋움"/>
            <family val="3"/>
            <charset val="129"/>
          </rPr>
          <t>이미</t>
        </r>
        <r>
          <rPr>
            <sz val="9"/>
            <color indexed="81"/>
            <rFont val="Tahoma"/>
            <family val="2"/>
          </rPr>
          <t xml:space="preserve"> involvement</t>
        </r>
        <r>
          <rPr>
            <sz val="9"/>
            <color indexed="81"/>
            <rFont val="돋움"/>
            <family val="3"/>
            <charset val="129"/>
          </rPr>
          <t>가</t>
        </r>
        <r>
          <rPr>
            <sz val="9"/>
            <color indexed="81"/>
            <rFont val="Tahoma"/>
            <family val="2"/>
          </rPr>
          <t xml:space="preserve"> </t>
        </r>
        <r>
          <rPr>
            <sz val="9"/>
            <color indexed="81"/>
            <rFont val="돋움"/>
            <family val="3"/>
            <charset val="129"/>
          </rPr>
          <t>있고</t>
        </r>
        <r>
          <rPr>
            <sz val="9"/>
            <color indexed="81"/>
            <rFont val="Tahoma"/>
            <family val="2"/>
          </rPr>
          <t>.</t>
        </r>
      </text>
    </comment>
    <comment ref="BC12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Elective coverage</t>
        </r>
        <r>
          <rPr>
            <sz val="9"/>
            <color indexed="81"/>
            <rFont val="돋움"/>
            <family val="3"/>
            <charset val="129"/>
          </rPr>
          <t>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아니라고</t>
        </r>
        <r>
          <rPr>
            <sz val="9"/>
            <color indexed="81"/>
            <rFont val="Tahoma"/>
            <family val="2"/>
          </rPr>
          <t xml:space="preserve"> </t>
        </r>
        <r>
          <rPr>
            <sz val="9"/>
            <color indexed="81"/>
            <rFont val="돋움"/>
            <family val="3"/>
            <charset val="129"/>
          </rPr>
          <t>보았다</t>
        </r>
        <r>
          <rPr>
            <sz val="9"/>
            <color indexed="81"/>
            <rFont val="Tahoma"/>
            <family val="2"/>
          </rPr>
          <t>. (Superior esophageal coverage</t>
        </r>
        <r>
          <rPr>
            <sz val="9"/>
            <color indexed="81"/>
            <rFont val="돋움"/>
            <family val="3"/>
            <charset val="129"/>
          </rPr>
          <t>는</t>
        </r>
        <r>
          <rPr>
            <sz val="9"/>
            <color indexed="81"/>
            <rFont val="Tahoma"/>
            <family val="2"/>
          </rPr>
          <t xml:space="preserve"> LN</t>
        </r>
        <r>
          <rPr>
            <sz val="9"/>
            <color indexed="81"/>
            <rFont val="돋움"/>
            <family val="3"/>
            <charset val="129"/>
          </rPr>
          <t>에</t>
        </r>
        <r>
          <rPr>
            <sz val="9"/>
            <color indexed="81"/>
            <rFont val="Tahoma"/>
            <family val="2"/>
          </rPr>
          <t xml:space="preserve"> </t>
        </r>
        <r>
          <rPr>
            <sz val="9"/>
            <color indexed="81"/>
            <rFont val="돋움"/>
            <family val="3"/>
            <charset val="129"/>
          </rPr>
          <t>의한</t>
        </r>
        <r>
          <rPr>
            <sz val="9"/>
            <color indexed="81"/>
            <rFont val="Tahoma"/>
            <family val="2"/>
          </rPr>
          <t xml:space="preserve"> </t>
        </r>
        <r>
          <rPr>
            <sz val="9"/>
            <color indexed="81"/>
            <rFont val="돋움"/>
            <family val="3"/>
            <charset val="129"/>
          </rPr>
          <t>것이라</t>
        </r>
        <r>
          <rPr>
            <sz val="9"/>
            <color indexed="81"/>
            <rFont val="Tahoma"/>
            <family val="2"/>
          </rPr>
          <t xml:space="preserve"> elective</t>
        </r>
        <r>
          <rPr>
            <sz val="9"/>
            <color indexed="81"/>
            <rFont val="돋움"/>
            <family val="3"/>
            <charset val="129"/>
          </rPr>
          <t>라고</t>
        </r>
        <r>
          <rPr>
            <sz val="9"/>
            <color indexed="81"/>
            <rFont val="Tahoma"/>
            <family val="2"/>
          </rPr>
          <t xml:space="preserve"> </t>
        </r>
        <r>
          <rPr>
            <sz val="9"/>
            <color indexed="81"/>
            <rFont val="돋움"/>
            <family val="3"/>
            <charset val="129"/>
          </rPr>
          <t>하기에</t>
        </r>
        <r>
          <rPr>
            <sz val="9"/>
            <color indexed="81"/>
            <rFont val="Tahoma"/>
            <family val="2"/>
          </rPr>
          <t xml:space="preserve"> </t>
        </r>
        <r>
          <rPr>
            <sz val="9"/>
            <color indexed="81"/>
            <rFont val="돋움"/>
            <family val="3"/>
            <charset val="129"/>
          </rPr>
          <t>좀</t>
        </r>
        <r>
          <rPr>
            <sz val="9"/>
            <color indexed="81"/>
            <rFont val="Tahoma"/>
            <family val="2"/>
          </rPr>
          <t>…)</t>
        </r>
      </text>
    </comment>
    <comment ref="CD123" authorId="1" shapeId="0">
      <text>
        <r>
          <rPr>
            <b/>
            <sz val="9"/>
            <color indexed="81"/>
            <rFont val="Tahoma"/>
            <family val="2"/>
          </rPr>
          <t>SNUH:</t>
        </r>
        <r>
          <rPr>
            <sz val="9"/>
            <color indexed="81"/>
            <rFont val="Tahoma"/>
            <family val="2"/>
          </rPr>
          <t xml:space="preserve">
"Markedly decreased in size and metabolism of previously noted lesions in mid esophagus and 4L and 1R LNs" SUV</t>
        </r>
        <r>
          <rPr>
            <sz val="9"/>
            <color indexed="81"/>
            <rFont val="돋움"/>
            <family val="3"/>
            <charset val="129"/>
          </rPr>
          <t>는</t>
        </r>
        <r>
          <rPr>
            <sz val="9"/>
            <color indexed="81"/>
            <rFont val="Tahoma"/>
            <family val="2"/>
          </rPr>
          <t xml:space="preserve"> 1R LN</t>
        </r>
        <r>
          <rPr>
            <sz val="9"/>
            <color indexed="81"/>
            <rFont val="돋움"/>
            <family val="3"/>
            <charset val="129"/>
          </rPr>
          <t>에</t>
        </r>
        <r>
          <rPr>
            <sz val="9"/>
            <color indexed="81"/>
            <rFont val="Tahoma"/>
            <family val="2"/>
          </rPr>
          <t xml:space="preserve"> </t>
        </r>
        <r>
          <rPr>
            <sz val="9"/>
            <color indexed="81"/>
            <rFont val="돋움"/>
            <family val="3"/>
            <charset val="129"/>
          </rPr>
          <t>대해서만</t>
        </r>
        <r>
          <rPr>
            <sz val="9"/>
            <color indexed="81"/>
            <rFont val="Tahoma"/>
            <family val="2"/>
          </rPr>
          <t xml:space="preserve"> </t>
        </r>
        <r>
          <rPr>
            <sz val="9"/>
            <color indexed="81"/>
            <rFont val="돋움"/>
            <family val="3"/>
            <charset val="129"/>
          </rPr>
          <t>보고됨</t>
        </r>
        <r>
          <rPr>
            <sz val="9"/>
            <color indexed="81"/>
            <rFont val="Tahoma"/>
            <family val="2"/>
          </rPr>
          <t>.</t>
        </r>
      </text>
    </comment>
    <comment ref="FS12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2016/3/9 </t>
        </r>
        <r>
          <rPr>
            <sz val="9"/>
            <color indexed="81"/>
            <rFont val="돋움"/>
            <family val="3"/>
            <charset val="129"/>
          </rPr>
          <t>종양내과</t>
        </r>
        <r>
          <rPr>
            <sz val="9"/>
            <color indexed="81"/>
            <rFont val="Tahoma"/>
            <family val="2"/>
          </rPr>
          <t xml:space="preserve"> </t>
        </r>
        <r>
          <rPr>
            <sz val="9"/>
            <color indexed="81"/>
            <rFont val="돋움"/>
            <family val="3"/>
            <charset val="129"/>
          </rPr>
          <t>외래</t>
        </r>
        <r>
          <rPr>
            <sz val="9"/>
            <color indexed="81"/>
            <rFont val="Tahoma"/>
            <family val="2"/>
          </rPr>
          <t xml:space="preserve">… </t>
        </r>
        <r>
          <rPr>
            <sz val="9"/>
            <color indexed="81"/>
            <rFont val="돋움"/>
            <family val="3"/>
            <charset val="129"/>
          </rPr>
          <t>다만</t>
        </r>
        <r>
          <rPr>
            <sz val="9"/>
            <color indexed="81"/>
            <rFont val="Tahoma"/>
            <family val="2"/>
          </rPr>
          <t xml:space="preserve"> RT </t>
        </r>
        <r>
          <rPr>
            <sz val="9"/>
            <color indexed="81"/>
            <rFont val="돋움"/>
            <family val="3"/>
            <charset val="129"/>
          </rPr>
          <t>직후라서</t>
        </r>
        <r>
          <rPr>
            <sz val="9"/>
            <color indexed="81"/>
            <rFont val="Tahoma"/>
            <family val="2"/>
          </rPr>
          <t xml:space="preserve"> </t>
        </r>
        <r>
          <rPr>
            <sz val="9"/>
            <color indexed="81"/>
            <rFont val="돋움"/>
            <family val="3"/>
            <charset val="129"/>
          </rPr>
          <t>회복중일지도</t>
        </r>
        <r>
          <rPr>
            <sz val="9"/>
            <color indexed="81"/>
            <rFont val="Tahoma"/>
            <family val="2"/>
          </rPr>
          <t>?</t>
        </r>
      </text>
    </comment>
    <comment ref="P12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언급</t>
        </r>
        <r>
          <rPr>
            <sz val="9"/>
            <color indexed="81"/>
            <rFont val="Tahoma"/>
            <family val="2"/>
          </rPr>
          <t xml:space="preserve"> </t>
        </r>
        <r>
          <rPr>
            <sz val="9"/>
            <color indexed="81"/>
            <rFont val="돋움"/>
            <family val="3"/>
            <charset val="129"/>
          </rPr>
          <t>없음</t>
        </r>
      </text>
    </comment>
    <comment ref="AN12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기술만</t>
        </r>
        <r>
          <rPr>
            <sz val="9"/>
            <color indexed="81"/>
            <rFont val="Tahoma"/>
            <family val="2"/>
          </rPr>
          <t xml:space="preserve"> SI 2.0cm</t>
        </r>
        <r>
          <rPr>
            <sz val="9"/>
            <color indexed="81"/>
            <rFont val="돋움"/>
            <family val="3"/>
            <charset val="129"/>
          </rPr>
          <t>이지</t>
        </r>
        <r>
          <rPr>
            <sz val="9"/>
            <color indexed="81"/>
            <rFont val="Tahoma"/>
            <family val="2"/>
          </rPr>
          <t xml:space="preserve">, </t>
        </r>
        <r>
          <rPr>
            <sz val="9"/>
            <color indexed="81"/>
            <rFont val="돋움"/>
            <family val="3"/>
            <charset val="129"/>
          </rPr>
          <t>사실은</t>
        </r>
        <r>
          <rPr>
            <sz val="9"/>
            <color indexed="81"/>
            <rFont val="Tahoma"/>
            <family val="2"/>
          </rPr>
          <t xml:space="preserve"> </t>
        </r>
        <r>
          <rPr>
            <sz val="9"/>
            <color indexed="81"/>
            <rFont val="돋움"/>
            <family val="3"/>
            <charset val="129"/>
          </rPr>
          <t>위아래</t>
        </r>
        <r>
          <rPr>
            <sz val="9"/>
            <color indexed="81"/>
            <rFont val="Tahoma"/>
            <family val="2"/>
          </rPr>
          <t xml:space="preserve"> </t>
        </r>
        <r>
          <rPr>
            <sz val="9"/>
            <color indexed="81"/>
            <rFont val="돋움"/>
            <family val="3"/>
            <charset val="129"/>
          </rPr>
          <t>모두</t>
        </r>
        <r>
          <rPr>
            <sz val="9"/>
            <color indexed="81"/>
            <rFont val="Tahoma"/>
            <family val="2"/>
          </rPr>
          <t xml:space="preserve"> elective field</t>
        </r>
        <r>
          <rPr>
            <sz val="9"/>
            <color indexed="81"/>
            <rFont val="돋움"/>
            <family val="3"/>
            <charset val="129"/>
          </rPr>
          <t>가</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특히</t>
        </r>
        <r>
          <rPr>
            <sz val="9"/>
            <color indexed="81"/>
            <rFont val="Tahoma"/>
            <family val="2"/>
          </rPr>
          <t xml:space="preserve"> upper mediastinum</t>
        </r>
      </text>
    </comment>
    <comment ref="FS12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2016/3/18 </t>
        </r>
        <r>
          <rPr>
            <sz val="9"/>
            <color indexed="81"/>
            <rFont val="돋움"/>
            <family val="3"/>
            <charset val="129"/>
          </rPr>
          <t>내과기록</t>
        </r>
        <r>
          <rPr>
            <sz val="9"/>
            <color indexed="81"/>
            <rFont val="Tahoma"/>
            <family val="2"/>
          </rPr>
          <t xml:space="preserve">, </t>
        </r>
        <r>
          <rPr>
            <sz val="9"/>
            <color indexed="81"/>
            <rFont val="돋움"/>
            <family val="3"/>
            <charset val="129"/>
          </rPr>
          <t>다만</t>
        </r>
        <r>
          <rPr>
            <sz val="9"/>
            <color indexed="81"/>
            <rFont val="Tahoma"/>
            <family val="2"/>
          </rPr>
          <t xml:space="preserve"> </t>
        </r>
        <r>
          <rPr>
            <sz val="9"/>
            <color indexed="81"/>
            <rFont val="돋움"/>
            <family val="3"/>
            <charset val="129"/>
          </rPr>
          <t>호전</t>
        </r>
        <r>
          <rPr>
            <sz val="9"/>
            <color indexed="81"/>
            <rFont val="Tahoma"/>
            <family val="2"/>
          </rPr>
          <t xml:space="preserve"> </t>
        </r>
        <r>
          <rPr>
            <sz val="9"/>
            <color indexed="81"/>
            <rFont val="돋움"/>
            <family val="3"/>
            <charset val="129"/>
          </rPr>
          <t>중이지</t>
        </r>
        <r>
          <rPr>
            <sz val="9"/>
            <color indexed="81"/>
            <rFont val="Tahoma"/>
            <family val="2"/>
          </rPr>
          <t xml:space="preserve"> </t>
        </r>
        <r>
          <rPr>
            <sz val="9"/>
            <color indexed="81"/>
            <rFont val="돋움"/>
            <family val="3"/>
            <charset val="129"/>
          </rPr>
          <t>않았을까</t>
        </r>
        <r>
          <rPr>
            <sz val="9"/>
            <color indexed="81"/>
            <rFont val="Tahoma"/>
            <family val="2"/>
          </rPr>
          <t xml:space="preserve"> </t>
        </r>
        <r>
          <rPr>
            <sz val="9"/>
            <color indexed="81"/>
            <rFont val="돋움"/>
            <family val="3"/>
            <charset val="129"/>
          </rPr>
          <t>싶다</t>
        </r>
        <r>
          <rPr>
            <sz val="9"/>
            <color indexed="81"/>
            <rFont val="Tahoma"/>
            <family val="2"/>
          </rPr>
          <t>.</t>
        </r>
      </text>
    </comment>
    <comment ref="FU12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s/p Ballooon dilatation #4 (2016/9/22, 11/3, 12/29, 2017/5/11)</t>
        </r>
      </text>
    </comment>
    <comment ref="AN1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lower mediastinum? </t>
        </r>
        <r>
          <rPr>
            <sz val="9"/>
            <color indexed="81"/>
            <rFont val="돋움"/>
            <family val="3"/>
            <charset val="129"/>
          </rPr>
          <t>참고로</t>
        </r>
        <r>
          <rPr>
            <sz val="9"/>
            <color indexed="81"/>
            <rFont val="Tahoma"/>
            <family val="2"/>
          </rPr>
          <t xml:space="preserve"> abd LN</t>
        </r>
        <r>
          <rPr>
            <sz val="9"/>
            <color indexed="81"/>
            <rFont val="돋움"/>
            <family val="3"/>
            <charset val="129"/>
          </rPr>
          <t>에</t>
        </r>
        <r>
          <rPr>
            <sz val="9"/>
            <color indexed="81"/>
            <rFont val="Tahoma"/>
            <family val="2"/>
          </rPr>
          <t xml:space="preserve"> meta </t>
        </r>
        <r>
          <rPr>
            <sz val="9"/>
            <color indexed="81"/>
            <rFont val="돋움"/>
            <family val="3"/>
            <charset val="129"/>
          </rPr>
          <t>있었음</t>
        </r>
        <r>
          <rPr>
            <sz val="9"/>
            <color indexed="81"/>
            <rFont val="Tahoma"/>
            <family val="2"/>
          </rPr>
          <t>.</t>
        </r>
      </text>
    </comment>
    <comment ref="AU1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superior 5cm, inferior 2cm</t>
        </r>
      </text>
    </comment>
    <comment ref="CD125" authorId="1" shapeId="0">
      <text>
        <r>
          <rPr>
            <b/>
            <sz val="9"/>
            <color indexed="81"/>
            <rFont val="Tahoma"/>
            <family val="2"/>
          </rPr>
          <t>SNUH:</t>
        </r>
        <r>
          <rPr>
            <sz val="9"/>
            <color indexed="81"/>
            <rFont val="Tahoma"/>
            <family val="2"/>
          </rPr>
          <t xml:space="preserve">
"Almost disappeared previous hypermetabolic mass lesion in the lower thoracic esophagus."</t>
        </r>
      </text>
    </comment>
    <comment ref="CK1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다만</t>
        </r>
        <r>
          <rPr>
            <sz val="9"/>
            <color indexed="81"/>
            <rFont val="Tahoma"/>
            <family val="2"/>
          </rPr>
          <t xml:space="preserve">, Lt gastric LN </t>
        </r>
        <r>
          <rPr>
            <sz val="9"/>
            <color indexed="81"/>
            <rFont val="돋움"/>
            <family val="3"/>
            <charset val="129"/>
          </rPr>
          <t>부위의</t>
        </r>
        <r>
          <rPr>
            <sz val="9"/>
            <color indexed="81"/>
            <rFont val="Tahoma"/>
            <family val="2"/>
          </rPr>
          <t xml:space="preserve"> metastatic tumor</t>
        </r>
        <r>
          <rPr>
            <sz val="9"/>
            <color indexed="81"/>
            <rFont val="돋움"/>
            <family val="3"/>
            <charset val="129"/>
          </rPr>
          <t>이</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컸다</t>
        </r>
        <r>
          <rPr>
            <sz val="9"/>
            <color indexed="81"/>
            <rFont val="Tahoma"/>
            <family val="2"/>
          </rPr>
          <t>.</t>
        </r>
      </text>
    </comment>
    <comment ref="CV1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 site</t>
        </r>
        <r>
          <rPr>
            <sz val="9"/>
            <color indexed="81"/>
            <rFont val="돋움"/>
            <family val="3"/>
            <charset val="129"/>
          </rPr>
          <t>는</t>
        </r>
        <r>
          <rPr>
            <sz val="9"/>
            <color indexed="81"/>
            <rFont val="Tahoma"/>
            <family val="2"/>
          </rPr>
          <t xml:space="preserve"> CR</t>
        </r>
        <r>
          <rPr>
            <sz val="9"/>
            <color indexed="81"/>
            <rFont val="돋움"/>
            <family val="3"/>
            <charset val="129"/>
          </rPr>
          <t>이라</t>
        </r>
        <r>
          <rPr>
            <sz val="9"/>
            <color indexed="81"/>
            <rFont val="Tahoma"/>
            <family val="2"/>
          </rPr>
          <t xml:space="preserve"> negative</t>
        </r>
        <r>
          <rPr>
            <sz val="9"/>
            <color indexed="81"/>
            <rFont val="돋움"/>
            <family val="3"/>
            <charset val="129"/>
          </rPr>
          <t>이나</t>
        </r>
        <r>
          <rPr>
            <sz val="9"/>
            <color indexed="81"/>
            <rFont val="Tahoma"/>
            <family val="2"/>
          </rPr>
          <t>, Lt gastric LN</t>
        </r>
        <r>
          <rPr>
            <sz val="9"/>
            <color indexed="81"/>
            <rFont val="돋움"/>
            <family val="3"/>
            <charset val="129"/>
          </rPr>
          <t>은</t>
        </r>
        <r>
          <rPr>
            <sz val="9"/>
            <color indexed="81"/>
            <rFont val="Tahoma"/>
            <family val="2"/>
          </rPr>
          <t xml:space="preserve"> margin involved.</t>
        </r>
      </text>
    </comment>
    <comment ref="CW1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Stomach proximal margin</t>
        </r>
      </text>
    </comment>
    <comment ref="CX1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stomach distal margin</t>
        </r>
      </text>
    </comment>
    <comment ref="CY1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Liver parenchymal margin</t>
        </r>
      </text>
    </comment>
    <comment ref="CZ1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1+1 (Lt gastric LN)</t>
        </r>
        <r>
          <rPr>
            <sz val="9"/>
            <color indexed="81"/>
            <rFont val="돋움"/>
            <family val="3"/>
            <charset val="129"/>
          </rPr>
          <t>으로</t>
        </r>
        <r>
          <rPr>
            <sz val="9"/>
            <color indexed="81"/>
            <rFont val="Tahoma"/>
            <family val="2"/>
          </rPr>
          <t xml:space="preserve"> </t>
        </r>
        <r>
          <rPr>
            <sz val="9"/>
            <color indexed="81"/>
            <rFont val="돋움"/>
            <family val="3"/>
            <charset val="129"/>
          </rPr>
          <t>판단하였음</t>
        </r>
        <r>
          <rPr>
            <sz val="9"/>
            <color indexed="81"/>
            <rFont val="Tahoma"/>
            <family val="2"/>
          </rPr>
          <t>.</t>
        </r>
      </text>
    </comment>
    <comment ref="DA1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왼쪽과</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이유로</t>
        </r>
        <r>
          <rPr>
            <sz val="9"/>
            <color indexed="81"/>
            <rFont val="Tahoma"/>
            <family val="2"/>
          </rPr>
          <t xml:space="preserve"> 28+1</t>
        </r>
      </text>
    </comment>
    <comment ref="AN12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lower mediastinum? </t>
        </r>
        <r>
          <rPr>
            <sz val="9"/>
            <color indexed="81"/>
            <rFont val="돋움"/>
            <family val="3"/>
            <charset val="129"/>
          </rPr>
          <t>참고로</t>
        </r>
        <r>
          <rPr>
            <sz val="9"/>
            <color indexed="81"/>
            <rFont val="Tahoma"/>
            <family val="2"/>
          </rPr>
          <t xml:space="preserve"> abd LN</t>
        </r>
        <r>
          <rPr>
            <sz val="9"/>
            <color indexed="81"/>
            <rFont val="돋움"/>
            <family val="3"/>
            <charset val="129"/>
          </rPr>
          <t>에</t>
        </r>
        <r>
          <rPr>
            <sz val="9"/>
            <color indexed="81"/>
            <rFont val="Tahoma"/>
            <family val="2"/>
          </rPr>
          <t xml:space="preserve"> meta </t>
        </r>
        <r>
          <rPr>
            <sz val="9"/>
            <color indexed="81"/>
            <rFont val="돋움"/>
            <family val="3"/>
            <charset val="129"/>
          </rPr>
          <t>있었음</t>
        </r>
        <r>
          <rPr>
            <sz val="9"/>
            <color indexed="81"/>
            <rFont val="Tahoma"/>
            <family val="2"/>
          </rPr>
          <t>.</t>
        </r>
      </text>
    </comment>
    <comment ref="AU12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superior 5cm, inferior 2cm</t>
        </r>
      </text>
    </comment>
    <comment ref="DI12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 FP #4 ('16.9.29~16.12.19)</t>
        </r>
      </text>
    </comment>
    <comment ref="EH12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2017/7/16</t>
        </r>
      </text>
    </comment>
    <comment ref="P12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중앙대병원에서</t>
        </r>
        <r>
          <rPr>
            <sz val="9"/>
            <color indexed="81"/>
            <rFont val="Tahoma"/>
            <family val="2"/>
          </rPr>
          <t xml:space="preserve"> </t>
        </r>
        <r>
          <rPr>
            <sz val="9"/>
            <color indexed="81"/>
            <rFont val="돋움"/>
            <family val="3"/>
            <charset val="129"/>
          </rPr>
          <t>가져온</t>
        </r>
        <r>
          <rPr>
            <sz val="9"/>
            <color indexed="81"/>
            <rFont val="Tahoma"/>
            <family val="2"/>
          </rPr>
          <t xml:space="preserve"> </t>
        </r>
        <r>
          <rPr>
            <sz val="9"/>
            <color indexed="81"/>
            <rFont val="돋움"/>
            <family val="3"/>
            <charset val="129"/>
          </rPr>
          <t>검체에서는</t>
        </r>
        <r>
          <rPr>
            <sz val="9"/>
            <color indexed="81"/>
            <rFont val="Tahoma"/>
            <family val="2"/>
          </rPr>
          <t xml:space="preserve"> MD</t>
        </r>
        <r>
          <rPr>
            <sz val="9"/>
            <color indexed="81"/>
            <rFont val="돋움"/>
            <family val="3"/>
            <charset val="129"/>
          </rPr>
          <t>라고</t>
        </r>
        <r>
          <rPr>
            <sz val="9"/>
            <color indexed="81"/>
            <rFont val="Tahoma"/>
            <family val="2"/>
          </rPr>
          <t xml:space="preserve"> </t>
        </r>
        <r>
          <rPr>
            <sz val="9"/>
            <color indexed="81"/>
            <rFont val="돋움"/>
            <family val="3"/>
            <charset val="129"/>
          </rPr>
          <t>그랬다</t>
        </r>
        <r>
          <rPr>
            <sz val="9"/>
            <color indexed="81"/>
            <rFont val="Tahoma"/>
            <family val="2"/>
          </rPr>
          <t>.</t>
        </r>
      </text>
    </comment>
    <comment ref="BD12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FU12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s/p ballooon dilatation (2018/7/5)</t>
        </r>
      </text>
    </comment>
    <comment ref="AU12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inf 2cm</t>
        </r>
        <r>
          <rPr>
            <sz val="9"/>
            <color indexed="81"/>
            <rFont val="돋움"/>
            <family val="3"/>
            <charset val="129"/>
          </rPr>
          <t>인가</t>
        </r>
        <r>
          <rPr>
            <sz val="9"/>
            <color indexed="81"/>
            <rFont val="Tahoma"/>
            <family val="2"/>
          </rPr>
          <t>?</t>
        </r>
      </text>
    </comment>
    <comment ref="BU12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5</t>
        </r>
        <r>
          <rPr>
            <sz val="9"/>
            <color indexed="81"/>
            <rFont val="돋움"/>
            <family val="3"/>
            <charset val="129"/>
          </rPr>
          <t>주차</t>
        </r>
        <r>
          <rPr>
            <sz val="9"/>
            <color indexed="81"/>
            <rFont val="Tahoma"/>
            <family val="2"/>
          </rPr>
          <t xml:space="preserve"> skip</t>
        </r>
      </text>
    </comment>
    <comment ref="CD128" authorId="1" shapeId="0">
      <text>
        <r>
          <rPr>
            <b/>
            <sz val="9"/>
            <color indexed="81"/>
            <rFont val="Tahoma"/>
            <family val="2"/>
          </rPr>
          <t>SNUH:</t>
        </r>
        <r>
          <rPr>
            <sz val="9"/>
            <color indexed="81"/>
            <rFont val="Tahoma"/>
            <family val="2"/>
          </rPr>
          <t xml:space="preserve">
"Almost disappeared previous hypermetabolic mass lesion in the distal esophagus."</t>
        </r>
      </text>
    </comment>
    <comment ref="AF12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SCL.
RML lung nodule</t>
        </r>
        <r>
          <rPr>
            <sz val="9"/>
            <color indexed="81"/>
            <rFont val="돋움"/>
            <family val="3"/>
            <charset val="129"/>
          </rPr>
          <t>의</t>
        </r>
        <r>
          <rPr>
            <sz val="9"/>
            <color indexed="81"/>
            <rFont val="Tahoma"/>
            <family val="2"/>
          </rPr>
          <t xml:space="preserve"> </t>
        </r>
        <r>
          <rPr>
            <sz val="9"/>
            <color indexed="81"/>
            <rFont val="돋움"/>
            <family val="3"/>
            <charset val="129"/>
          </rPr>
          <t>경우에는</t>
        </r>
        <r>
          <rPr>
            <sz val="9"/>
            <color indexed="81"/>
            <rFont val="Tahoma"/>
            <family val="2"/>
          </rPr>
          <t xml:space="preserve"> follow-up </t>
        </r>
        <r>
          <rPr>
            <sz val="9"/>
            <color indexed="81"/>
            <rFont val="돋움"/>
            <family val="3"/>
            <charset val="129"/>
          </rPr>
          <t>실시하였는데</t>
        </r>
        <r>
          <rPr>
            <sz val="9"/>
            <color indexed="81"/>
            <rFont val="Tahoma"/>
            <family val="2"/>
          </rPr>
          <t xml:space="preserve">, </t>
        </r>
        <r>
          <rPr>
            <sz val="9"/>
            <color indexed="81"/>
            <rFont val="돋움"/>
            <family val="3"/>
            <charset val="129"/>
          </rPr>
          <t>나중에</t>
        </r>
        <r>
          <rPr>
            <sz val="9"/>
            <color indexed="81"/>
            <rFont val="Tahoma"/>
            <family val="2"/>
          </rPr>
          <t xml:space="preserve"> </t>
        </r>
        <r>
          <rPr>
            <sz val="9"/>
            <color indexed="81"/>
            <rFont val="돋움"/>
            <family val="3"/>
            <charset val="129"/>
          </rPr>
          <t>문제가</t>
        </r>
        <r>
          <rPr>
            <sz val="9"/>
            <color indexed="81"/>
            <rFont val="Tahoma"/>
            <family val="2"/>
          </rPr>
          <t xml:space="preserve"> </t>
        </r>
        <r>
          <rPr>
            <sz val="9"/>
            <color indexed="81"/>
            <rFont val="돋움"/>
            <family val="3"/>
            <charset val="129"/>
          </rPr>
          <t>된</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다른</t>
        </r>
        <r>
          <rPr>
            <sz val="9"/>
            <color indexed="81"/>
            <rFont val="Tahoma"/>
            <family val="2"/>
          </rPr>
          <t xml:space="preserve"> nodule.</t>
        </r>
      </text>
    </comment>
    <comment ref="BX129" authorId="1" shapeId="0">
      <text>
        <r>
          <rPr>
            <b/>
            <sz val="9"/>
            <color indexed="81"/>
            <rFont val="Tahoma"/>
            <family val="2"/>
          </rPr>
          <t>SNUH:</t>
        </r>
        <r>
          <rPr>
            <sz val="9"/>
            <color indexed="81"/>
            <rFont val="Tahoma"/>
            <family val="2"/>
          </rPr>
          <t xml:space="preserve">
Band 5% </t>
        </r>
        <r>
          <rPr>
            <sz val="9"/>
            <color indexed="81"/>
            <rFont val="돋움"/>
            <family val="3"/>
            <charset val="129"/>
          </rPr>
          <t>포함</t>
        </r>
      </text>
    </comment>
    <comment ref="DH12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Tumor bed</t>
        </r>
        <r>
          <rPr>
            <sz val="9"/>
            <color indexed="81"/>
            <rFont val="돋움"/>
            <family val="3"/>
            <charset val="129"/>
          </rPr>
          <t>에</t>
        </r>
        <r>
          <rPr>
            <sz val="9"/>
            <color indexed="81"/>
            <rFont val="Tahoma"/>
            <family val="2"/>
          </rPr>
          <t xml:space="preserve"> CCRT w FP, 20Gy/10fx, 2017/4/6 - 2017/4/19</t>
        </r>
      </text>
    </comment>
    <comment ref="DI12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postop CCRT with FP #3 ('17.4.6-6.1, RT 4.6-4.19)</t>
        </r>
      </text>
    </comment>
    <comment ref="FU12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Anastomosis stenosis, s/p balloon dilatation (2017/6/26)</t>
        </r>
      </text>
    </comment>
    <comment ref="FX12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2nd course RT</t>
        </r>
        <r>
          <rPr>
            <sz val="9"/>
            <color indexed="81"/>
            <rFont val="돋움"/>
            <family val="3"/>
            <charset val="129"/>
          </rPr>
          <t>는</t>
        </r>
        <r>
          <rPr>
            <sz val="9"/>
            <color indexed="81"/>
            <rFont val="Tahoma"/>
            <family val="2"/>
          </rPr>
          <t xml:space="preserve"> re-RT</t>
        </r>
        <r>
          <rPr>
            <sz val="9"/>
            <color indexed="81"/>
            <rFont val="돋움"/>
            <family val="3"/>
            <charset val="129"/>
          </rPr>
          <t>라기</t>
        </r>
        <r>
          <rPr>
            <sz val="9"/>
            <color indexed="81"/>
            <rFont val="Tahoma"/>
            <family val="2"/>
          </rPr>
          <t xml:space="preserve"> </t>
        </r>
        <r>
          <rPr>
            <sz val="9"/>
            <color indexed="81"/>
            <rFont val="돋움"/>
            <family val="3"/>
            <charset val="129"/>
          </rPr>
          <t>보다는</t>
        </r>
        <r>
          <rPr>
            <sz val="9"/>
            <color indexed="81"/>
            <rFont val="Tahoma"/>
            <family val="2"/>
          </rPr>
          <t xml:space="preserve"> adjuvant</t>
        </r>
        <r>
          <rPr>
            <sz val="9"/>
            <color indexed="81"/>
            <rFont val="돋움"/>
            <family val="3"/>
            <charset val="129"/>
          </rPr>
          <t>로</t>
        </r>
        <r>
          <rPr>
            <sz val="9"/>
            <color indexed="81"/>
            <rFont val="Tahoma"/>
            <family val="2"/>
          </rPr>
          <t xml:space="preserve"> </t>
        </r>
        <r>
          <rPr>
            <sz val="9"/>
            <color indexed="81"/>
            <rFont val="돋움"/>
            <family val="3"/>
            <charset val="129"/>
          </rPr>
          <t>분류</t>
        </r>
        <r>
          <rPr>
            <sz val="9"/>
            <color indexed="81"/>
            <rFont val="Tahoma"/>
            <family val="2"/>
          </rPr>
          <t>...</t>
        </r>
      </text>
    </comment>
    <comment ref="AO13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t>
        </r>
        <r>
          <rPr>
            <sz val="9"/>
            <color indexed="81"/>
            <rFont val="돋움"/>
            <family val="3"/>
            <charset val="129"/>
          </rPr>
          <t>는</t>
        </r>
        <r>
          <rPr>
            <sz val="9"/>
            <color indexed="81"/>
            <rFont val="Tahoma"/>
            <family val="2"/>
          </rPr>
          <t xml:space="preserve"> </t>
        </r>
        <r>
          <rPr>
            <sz val="9"/>
            <color indexed="81"/>
            <rFont val="돋움"/>
            <family val="3"/>
            <charset val="129"/>
          </rPr>
          <t>이미</t>
        </r>
        <r>
          <rPr>
            <sz val="9"/>
            <color indexed="81"/>
            <rFont val="Tahoma"/>
            <family val="2"/>
          </rPr>
          <t xml:space="preserve"> involvement</t>
        </r>
        <r>
          <rPr>
            <sz val="9"/>
            <color indexed="81"/>
            <rFont val="돋움"/>
            <family val="3"/>
            <charset val="129"/>
          </rPr>
          <t>가</t>
        </r>
        <r>
          <rPr>
            <sz val="9"/>
            <color indexed="81"/>
            <rFont val="Tahoma"/>
            <family val="2"/>
          </rPr>
          <t xml:space="preserve"> </t>
        </r>
        <r>
          <rPr>
            <sz val="9"/>
            <color indexed="81"/>
            <rFont val="돋움"/>
            <family val="3"/>
            <charset val="129"/>
          </rPr>
          <t>있고</t>
        </r>
        <r>
          <rPr>
            <sz val="9"/>
            <color indexed="81"/>
            <rFont val="Tahoma"/>
            <family val="2"/>
          </rPr>
          <t>, Rt</t>
        </r>
        <r>
          <rPr>
            <sz val="9"/>
            <color indexed="81"/>
            <rFont val="돋움"/>
            <family val="3"/>
            <charset val="129"/>
          </rPr>
          <t>는</t>
        </r>
        <r>
          <rPr>
            <sz val="9"/>
            <color indexed="81"/>
            <rFont val="Tahoma"/>
            <family val="2"/>
          </rPr>
          <t xml:space="preserve"> elective</t>
        </r>
      </text>
    </comment>
    <comment ref="CN130" authorId="3" shapeId="0">
      <text>
        <r>
          <rPr>
            <b/>
            <sz val="10"/>
            <color rgb="FF000000"/>
            <rFont val="Malgun Gothic"/>
            <family val="2"/>
            <charset val="129"/>
          </rPr>
          <t>Tae Hoon Lee:</t>
        </r>
        <r>
          <rPr>
            <sz val="10"/>
            <color rgb="FF000000"/>
            <rFont val="Malgun Gothic"/>
            <family val="2"/>
            <charset val="129"/>
          </rPr>
          <t xml:space="preserve">
</t>
        </r>
        <r>
          <rPr>
            <sz val="10"/>
            <color rgb="FF000000"/>
            <rFont val="Malgun Gothic"/>
            <family val="2"/>
            <charset val="129"/>
          </rPr>
          <t>정확하지는</t>
        </r>
        <r>
          <rPr>
            <sz val="10"/>
            <color rgb="FF000000"/>
            <rFont val="Malgun Gothic"/>
            <family val="2"/>
            <charset val="129"/>
          </rPr>
          <t xml:space="preserve"> </t>
        </r>
        <r>
          <rPr>
            <sz val="10"/>
            <color rgb="FF000000"/>
            <rFont val="Malgun Gothic"/>
            <family val="2"/>
            <charset val="129"/>
          </rPr>
          <t>않다는</t>
        </r>
        <r>
          <rPr>
            <sz val="10"/>
            <color rgb="FF000000"/>
            <rFont val="Malgun Gothic"/>
            <family val="2"/>
            <charset val="129"/>
          </rPr>
          <t xml:space="preserve"> </t>
        </r>
        <r>
          <rPr>
            <sz val="10"/>
            <color rgb="FF000000"/>
            <rFont val="Malgun Gothic"/>
            <family val="2"/>
            <charset val="129"/>
          </rPr>
          <t>점</t>
        </r>
        <r>
          <rPr>
            <sz val="10"/>
            <color rgb="FF000000"/>
            <rFont val="Malgun Gothic"/>
            <family val="2"/>
            <charset val="129"/>
          </rPr>
          <t xml:space="preserve"> </t>
        </r>
        <r>
          <rPr>
            <sz val="10"/>
            <color rgb="FF000000"/>
            <rFont val="Malgun Gothic"/>
            <family val="2"/>
            <charset val="129"/>
          </rPr>
          <t>유의</t>
        </r>
      </text>
    </comment>
    <comment ref="CR13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invasive carcinoma</t>
        </r>
        <r>
          <rPr>
            <sz val="9"/>
            <color indexed="81"/>
            <rFont val="돋움"/>
            <family val="3"/>
            <charset val="129"/>
          </rPr>
          <t>가</t>
        </r>
        <r>
          <rPr>
            <sz val="9"/>
            <color indexed="81"/>
            <rFont val="Tahoma"/>
            <family val="2"/>
          </rPr>
          <t xml:space="preserve"> </t>
        </r>
        <r>
          <rPr>
            <sz val="9"/>
            <color indexed="81"/>
            <rFont val="돋움"/>
            <family val="3"/>
            <charset val="129"/>
          </rPr>
          <t>아니라는</t>
        </r>
        <r>
          <rPr>
            <sz val="9"/>
            <color indexed="81"/>
            <rFont val="Tahoma"/>
            <family val="2"/>
          </rPr>
          <t xml:space="preserve"> </t>
        </r>
        <r>
          <rPr>
            <sz val="9"/>
            <color indexed="81"/>
            <rFont val="돋움"/>
            <family val="3"/>
            <charset val="129"/>
          </rPr>
          <t>점에서는</t>
        </r>
        <r>
          <rPr>
            <sz val="9"/>
            <color indexed="81"/>
            <rFont val="Tahoma"/>
            <family val="2"/>
          </rPr>
          <t xml:space="preserve"> </t>
        </r>
        <r>
          <rPr>
            <sz val="9"/>
            <color indexed="81"/>
            <rFont val="돋움"/>
            <family val="3"/>
            <charset val="129"/>
          </rPr>
          <t>유의하자</t>
        </r>
        <r>
          <rPr>
            <sz val="9"/>
            <color indexed="81"/>
            <rFont val="Tahoma"/>
            <family val="2"/>
          </rPr>
          <t>.</t>
        </r>
      </text>
    </comment>
    <comment ref="DF13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low grade dysplasia</t>
        </r>
      </text>
    </comment>
    <comment ref="DQ13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anastomotic site</t>
        </r>
        <r>
          <rPr>
            <sz val="9"/>
            <color indexed="81"/>
            <rFont val="돋움"/>
            <family val="3"/>
            <charset val="129"/>
          </rPr>
          <t>에서</t>
        </r>
        <r>
          <rPr>
            <sz val="9"/>
            <color indexed="81"/>
            <rFont val="Tahoma"/>
            <family val="2"/>
          </rPr>
          <t xml:space="preserve"> hypopharynx</t>
        </r>
        <r>
          <rPr>
            <sz val="9"/>
            <color indexed="81"/>
            <rFont val="돋움"/>
            <family val="3"/>
            <charset val="129"/>
          </rPr>
          <t>까지</t>
        </r>
        <r>
          <rPr>
            <sz val="9"/>
            <color indexed="81"/>
            <rFont val="Tahoma"/>
            <family val="2"/>
          </rPr>
          <t xml:space="preserve"> </t>
        </r>
        <r>
          <rPr>
            <sz val="9"/>
            <color indexed="81"/>
            <rFont val="돋움"/>
            <family val="3"/>
            <charset val="129"/>
          </rPr>
          <t>미치는</t>
        </r>
        <r>
          <rPr>
            <sz val="9"/>
            <color indexed="81"/>
            <rFont val="Tahoma"/>
            <family val="2"/>
          </rPr>
          <t xml:space="preserve"> lesion… local</t>
        </r>
        <r>
          <rPr>
            <sz val="9"/>
            <color indexed="81"/>
            <rFont val="돋움"/>
            <family val="3"/>
            <charset val="129"/>
          </rPr>
          <t>은</t>
        </r>
        <r>
          <rPr>
            <sz val="9"/>
            <color indexed="81"/>
            <rFont val="Tahoma"/>
            <family val="2"/>
          </rPr>
          <t xml:space="preserve"> local</t>
        </r>
        <r>
          <rPr>
            <sz val="9"/>
            <color indexed="81"/>
            <rFont val="돋움"/>
            <family val="3"/>
            <charset val="129"/>
          </rPr>
          <t>이긴</t>
        </r>
        <r>
          <rPr>
            <sz val="9"/>
            <color indexed="81"/>
            <rFont val="Tahoma"/>
            <family val="2"/>
          </rPr>
          <t xml:space="preserve"> </t>
        </r>
        <r>
          <rPr>
            <sz val="9"/>
            <color indexed="81"/>
            <rFont val="돋움"/>
            <family val="3"/>
            <charset val="129"/>
          </rPr>
          <t>한데</t>
        </r>
        <r>
          <rPr>
            <sz val="9"/>
            <color indexed="81"/>
            <rFont val="Tahoma"/>
            <family val="2"/>
          </rPr>
          <t>, distal</t>
        </r>
        <r>
          <rPr>
            <sz val="9"/>
            <color indexed="81"/>
            <rFont val="돋움"/>
            <family val="3"/>
            <charset val="129"/>
          </rPr>
          <t>로</t>
        </r>
        <r>
          <rPr>
            <sz val="9"/>
            <color indexed="81"/>
            <rFont val="Tahoma"/>
            <family val="2"/>
          </rPr>
          <t xml:space="preserve"> </t>
        </r>
        <r>
          <rPr>
            <sz val="9"/>
            <color indexed="81"/>
            <rFont val="돋움"/>
            <family val="3"/>
            <charset val="129"/>
          </rPr>
          <t>봐야하나</t>
        </r>
        <r>
          <rPr>
            <sz val="9"/>
            <color indexed="81"/>
            <rFont val="Tahoma"/>
            <family val="2"/>
          </rPr>
          <t>?</t>
        </r>
      </text>
    </comment>
    <comment ref="EV13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hypopharynx</t>
        </r>
      </text>
    </comment>
    <comment ref="AO1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이걸</t>
        </r>
        <r>
          <rPr>
            <sz val="9"/>
            <color indexed="81"/>
            <rFont val="Tahoma"/>
            <family val="2"/>
          </rPr>
          <t xml:space="preserve"> SCL </t>
        </r>
        <r>
          <rPr>
            <sz val="9"/>
            <color indexed="81"/>
            <rFont val="돋움"/>
            <family val="3"/>
            <charset val="129"/>
          </rPr>
          <t>포함으로</t>
        </r>
        <r>
          <rPr>
            <sz val="9"/>
            <color indexed="81"/>
            <rFont val="Tahoma"/>
            <family val="2"/>
          </rPr>
          <t xml:space="preserve"> </t>
        </r>
        <r>
          <rPr>
            <sz val="9"/>
            <color indexed="81"/>
            <rFont val="돋움"/>
            <family val="3"/>
            <charset val="129"/>
          </rPr>
          <t>봐야할지</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애매</t>
        </r>
        <r>
          <rPr>
            <sz val="9"/>
            <color indexed="81"/>
            <rFont val="Tahoma"/>
            <family val="2"/>
          </rPr>
          <t>.</t>
        </r>
      </text>
    </comment>
    <comment ref="BD1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아래쪽이</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애매하긴</t>
        </r>
        <r>
          <rPr>
            <sz val="9"/>
            <color indexed="81"/>
            <rFont val="Tahoma"/>
            <family val="2"/>
          </rPr>
          <t xml:space="preserve"> </t>
        </r>
        <r>
          <rPr>
            <sz val="9"/>
            <color indexed="81"/>
            <rFont val="돋움"/>
            <family val="3"/>
            <charset val="129"/>
          </rPr>
          <t>함</t>
        </r>
        <r>
          <rPr>
            <sz val="9"/>
            <color indexed="81"/>
            <rFont val="Tahoma"/>
            <family val="2"/>
          </rPr>
          <t>.</t>
        </r>
      </text>
    </comment>
    <comment ref="AO13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이걸</t>
        </r>
        <r>
          <rPr>
            <sz val="9"/>
            <color indexed="81"/>
            <rFont val="Tahoma"/>
            <family val="2"/>
          </rPr>
          <t xml:space="preserve"> SCL </t>
        </r>
        <r>
          <rPr>
            <sz val="9"/>
            <color indexed="81"/>
            <rFont val="돋움"/>
            <family val="3"/>
            <charset val="129"/>
          </rPr>
          <t>포함으로</t>
        </r>
        <r>
          <rPr>
            <sz val="9"/>
            <color indexed="81"/>
            <rFont val="Tahoma"/>
            <family val="2"/>
          </rPr>
          <t xml:space="preserve"> </t>
        </r>
        <r>
          <rPr>
            <sz val="9"/>
            <color indexed="81"/>
            <rFont val="돋움"/>
            <family val="3"/>
            <charset val="129"/>
          </rPr>
          <t>봐야할지</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애매</t>
        </r>
        <r>
          <rPr>
            <sz val="9"/>
            <color indexed="81"/>
            <rFont val="Tahoma"/>
            <family val="2"/>
          </rPr>
          <t>.</t>
        </r>
      </text>
    </comment>
    <comment ref="AT13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t>
        </r>
        <r>
          <rPr>
            <sz val="9"/>
            <color indexed="81"/>
            <rFont val="돋움"/>
            <family val="3"/>
            <charset val="129"/>
          </rPr>
          <t>는</t>
        </r>
        <r>
          <rPr>
            <sz val="9"/>
            <color indexed="81"/>
            <rFont val="Tahoma"/>
            <family val="2"/>
          </rPr>
          <t xml:space="preserve"> longitudinal </t>
        </r>
        <r>
          <rPr>
            <sz val="9"/>
            <color indexed="81"/>
            <rFont val="돋움"/>
            <family val="3"/>
            <charset val="129"/>
          </rPr>
          <t>방향으로</t>
        </r>
        <r>
          <rPr>
            <sz val="9"/>
            <color indexed="81"/>
            <rFont val="Tahoma"/>
            <family val="2"/>
          </rPr>
          <t xml:space="preserve"> </t>
        </r>
        <r>
          <rPr>
            <sz val="9"/>
            <color indexed="81"/>
            <rFont val="돋움"/>
            <family val="3"/>
            <charset val="129"/>
          </rPr>
          <t>추가</t>
        </r>
        <r>
          <rPr>
            <sz val="9"/>
            <color indexed="81"/>
            <rFont val="Tahoma"/>
            <family val="2"/>
          </rPr>
          <t xml:space="preserve"> expansion</t>
        </r>
        <r>
          <rPr>
            <sz val="9"/>
            <color indexed="81"/>
            <rFont val="돋움"/>
            <family val="3"/>
            <charset val="129"/>
          </rPr>
          <t>이</t>
        </r>
        <r>
          <rPr>
            <sz val="9"/>
            <color indexed="81"/>
            <rFont val="Tahoma"/>
            <family val="2"/>
          </rPr>
          <t xml:space="preserve"> </t>
        </r>
        <r>
          <rPr>
            <sz val="9"/>
            <color indexed="81"/>
            <rFont val="돋움"/>
            <family val="3"/>
            <charset val="129"/>
          </rPr>
          <t>없다</t>
        </r>
        <r>
          <rPr>
            <sz val="9"/>
            <color indexed="81"/>
            <rFont val="Tahoma"/>
            <family val="2"/>
          </rPr>
          <t>. Small_margin 2</t>
        </r>
        <r>
          <rPr>
            <sz val="9"/>
            <color indexed="81"/>
            <rFont val="돋움"/>
            <family val="3"/>
            <charset val="129"/>
          </rPr>
          <t>번에서</t>
        </r>
        <r>
          <rPr>
            <sz val="9"/>
            <color indexed="81"/>
            <rFont val="Tahoma"/>
            <family val="2"/>
          </rPr>
          <t xml:space="preserve"> 0</t>
        </r>
        <r>
          <rPr>
            <sz val="9"/>
            <color indexed="81"/>
            <rFont val="돋움"/>
            <family val="3"/>
            <charset val="129"/>
          </rPr>
          <t>인</t>
        </r>
        <r>
          <rPr>
            <sz val="9"/>
            <color indexed="81"/>
            <rFont val="Tahoma"/>
            <family val="2"/>
          </rPr>
          <t xml:space="preserve"> </t>
        </r>
        <r>
          <rPr>
            <sz val="9"/>
            <color indexed="81"/>
            <rFont val="돋움"/>
            <family val="3"/>
            <charset val="129"/>
          </rPr>
          <t>까닭은</t>
        </r>
        <r>
          <rPr>
            <sz val="9"/>
            <color indexed="81"/>
            <rFont val="Tahoma"/>
            <family val="2"/>
          </rPr>
          <t xml:space="preserve"> PTV</t>
        </r>
        <r>
          <rPr>
            <sz val="9"/>
            <color indexed="81"/>
            <rFont val="돋움"/>
            <family val="3"/>
            <charset val="129"/>
          </rPr>
          <t>가</t>
        </r>
        <r>
          <rPr>
            <sz val="9"/>
            <color indexed="81"/>
            <rFont val="Tahoma"/>
            <family val="2"/>
          </rPr>
          <t xml:space="preserve"> SCL expansion</t>
        </r>
        <r>
          <rPr>
            <sz val="9"/>
            <color indexed="81"/>
            <rFont val="돋움"/>
            <family val="3"/>
            <charset val="129"/>
          </rPr>
          <t>이</t>
        </r>
        <r>
          <rPr>
            <sz val="9"/>
            <color indexed="81"/>
            <rFont val="Tahoma"/>
            <family val="2"/>
          </rPr>
          <t xml:space="preserve"> </t>
        </r>
        <r>
          <rPr>
            <sz val="9"/>
            <color indexed="81"/>
            <rFont val="돋움"/>
            <family val="3"/>
            <charset val="129"/>
          </rPr>
          <t>있기</t>
        </r>
        <r>
          <rPr>
            <sz val="9"/>
            <color indexed="81"/>
            <rFont val="Tahoma"/>
            <family val="2"/>
          </rPr>
          <t xml:space="preserve"> </t>
        </r>
        <r>
          <rPr>
            <sz val="9"/>
            <color indexed="81"/>
            <rFont val="돋움"/>
            <family val="3"/>
            <charset val="129"/>
          </rPr>
          <t>때문이지만</t>
        </r>
        <r>
          <rPr>
            <sz val="9"/>
            <color indexed="81"/>
            <rFont val="Tahoma"/>
            <family val="2"/>
          </rPr>
          <t xml:space="preserve"> IFI </t>
        </r>
        <r>
          <rPr>
            <sz val="9"/>
            <color indexed="81"/>
            <rFont val="돋움"/>
            <family val="3"/>
            <charset val="129"/>
          </rPr>
          <t>개념을</t>
        </r>
        <r>
          <rPr>
            <sz val="9"/>
            <color indexed="81"/>
            <rFont val="Tahoma"/>
            <family val="2"/>
          </rPr>
          <t xml:space="preserve"> </t>
        </r>
        <r>
          <rPr>
            <sz val="9"/>
            <color indexed="81"/>
            <rFont val="돋움"/>
            <family val="3"/>
            <charset val="129"/>
          </rPr>
          <t>지우면</t>
        </r>
        <r>
          <rPr>
            <sz val="9"/>
            <color indexed="81"/>
            <rFont val="Tahoma"/>
            <family val="2"/>
          </rPr>
          <t xml:space="preserve"> </t>
        </r>
        <r>
          <rPr>
            <sz val="9"/>
            <color indexed="81"/>
            <rFont val="돋움"/>
            <family val="3"/>
            <charset val="129"/>
          </rPr>
          <t>뭐</t>
        </r>
        <r>
          <rPr>
            <sz val="9"/>
            <color indexed="81"/>
            <rFont val="Tahoma"/>
            <family val="2"/>
          </rPr>
          <t>.</t>
        </r>
      </text>
    </comment>
    <comment ref="CC132" authorId="1" shapeId="0">
      <text>
        <r>
          <rPr>
            <b/>
            <sz val="9"/>
            <color indexed="81"/>
            <rFont val="Tahoma"/>
            <family val="2"/>
          </rPr>
          <t>SNUH:</t>
        </r>
        <r>
          <rPr>
            <sz val="9"/>
            <color indexed="81"/>
            <rFont val="Tahoma"/>
            <family val="2"/>
          </rPr>
          <t xml:space="preserve">
o/s PET, </t>
        </r>
        <r>
          <rPr>
            <sz val="9"/>
            <color indexed="81"/>
            <rFont val="돋움"/>
            <family val="3"/>
            <charset val="129"/>
          </rPr>
          <t>외부판독지</t>
        </r>
      </text>
    </comment>
    <comment ref="CK13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clinical</t>
        </r>
        <r>
          <rPr>
            <sz val="9"/>
            <color indexed="81"/>
            <rFont val="돋움"/>
            <family val="3"/>
            <charset val="129"/>
          </rPr>
          <t>하게는</t>
        </r>
        <r>
          <rPr>
            <sz val="9"/>
            <color indexed="81"/>
            <rFont val="Tahoma"/>
            <family val="2"/>
          </rPr>
          <t xml:space="preserve"> </t>
        </r>
        <r>
          <rPr>
            <sz val="9"/>
            <color indexed="81"/>
            <rFont val="돋움"/>
            <family val="3"/>
            <charset val="129"/>
          </rPr>
          <t>안나왔던</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같은데</t>
        </r>
        <r>
          <rPr>
            <sz val="9"/>
            <color indexed="81"/>
            <rFont val="Tahoma"/>
            <family val="2"/>
          </rPr>
          <t xml:space="preserve"> </t>
        </r>
        <r>
          <rPr>
            <sz val="9"/>
            <color indexed="81"/>
            <rFont val="돋움"/>
            <family val="3"/>
            <charset val="129"/>
          </rPr>
          <t>수술장</t>
        </r>
        <r>
          <rPr>
            <sz val="9"/>
            <color indexed="81"/>
            <rFont val="Tahoma"/>
            <family val="2"/>
          </rPr>
          <t xml:space="preserve"> </t>
        </r>
        <r>
          <rPr>
            <sz val="9"/>
            <color indexed="81"/>
            <rFont val="돋움"/>
            <family val="3"/>
            <charset val="129"/>
          </rPr>
          <t>소견에서</t>
        </r>
        <r>
          <rPr>
            <sz val="9"/>
            <color indexed="81"/>
            <rFont val="Tahoma"/>
            <family val="2"/>
          </rPr>
          <t xml:space="preserve"> </t>
        </r>
        <r>
          <rPr>
            <sz val="9"/>
            <color indexed="81"/>
            <rFont val="돋움"/>
            <family val="3"/>
            <charset val="129"/>
          </rPr>
          <t>뭐가</t>
        </r>
        <r>
          <rPr>
            <sz val="9"/>
            <color indexed="81"/>
            <rFont val="Tahoma"/>
            <family val="2"/>
          </rPr>
          <t xml:space="preserve"> </t>
        </r>
        <r>
          <rPr>
            <sz val="9"/>
            <color indexed="81"/>
            <rFont val="돋움"/>
            <family val="3"/>
            <charset val="129"/>
          </rPr>
          <t>보였는지</t>
        </r>
        <r>
          <rPr>
            <sz val="9"/>
            <color indexed="81"/>
            <rFont val="Tahoma"/>
            <family val="2"/>
          </rPr>
          <t xml:space="preserve"> </t>
        </r>
        <r>
          <rPr>
            <sz val="9"/>
            <color indexed="81"/>
            <rFont val="돋움"/>
            <family val="3"/>
            <charset val="129"/>
          </rPr>
          <t>몰라도</t>
        </r>
        <r>
          <rPr>
            <sz val="9"/>
            <color indexed="81"/>
            <rFont val="Tahoma"/>
            <family val="2"/>
          </rPr>
          <t xml:space="preserve"> lung wedge resection </t>
        </r>
        <r>
          <rPr>
            <sz val="9"/>
            <color indexed="81"/>
            <rFont val="돋움"/>
            <family val="3"/>
            <charset val="129"/>
          </rPr>
          <t>헀고</t>
        </r>
        <r>
          <rPr>
            <sz val="9"/>
            <color indexed="81"/>
            <rFont val="Tahoma"/>
            <family val="2"/>
          </rPr>
          <t xml:space="preserve"> metastatic SqCC </t>
        </r>
        <r>
          <rPr>
            <sz val="9"/>
            <color indexed="81"/>
            <rFont val="돋움"/>
            <family val="3"/>
            <charset val="129"/>
          </rPr>
          <t>나옴</t>
        </r>
        <r>
          <rPr>
            <sz val="9"/>
            <color indexed="81"/>
            <rFont val="Tahoma"/>
            <family val="2"/>
          </rPr>
          <t>.</t>
        </r>
      </text>
    </comment>
    <comment ref="CX13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언급이</t>
        </r>
        <r>
          <rPr>
            <sz val="9"/>
            <color indexed="81"/>
            <rFont val="Tahoma"/>
            <family val="2"/>
          </rPr>
          <t xml:space="preserve"> </t>
        </r>
        <r>
          <rPr>
            <sz val="9"/>
            <color indexed="81"/>
            <rFont val="돋움"/>
            <family val="3"/>
            <charset val="129"/>
          </rPr>
          <t>없다</t>
        </r>
        <r>
          <rPr>
            <sz val="9"/>
            <color indexed="81"/>
            <rFont val="Tahoma"/>
            <family val="2"/>
          </rPr>
          <t>.</t>
        </r>
      </text>
    </comment>
    <comment ref="DF13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low grade dysplasia</t>
        </r>
      </text>
    </comment>
    <comment ref="DI13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post op FP#2 (17.8.31~17.9.28)</t>
        </r>
      </text>
    </comment>
    <comment ref="CE13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CCRT </t>
        </r>
        <r>
          <rPr>
            <sz val="9"/>
            <color indexed="81"/>
            <rFont val="돋움"/>
            <family val="3"/>
            <charset val="129"/>
          </rPr>
          <t>이후에</t>
        </r>
        <r>
          <rPr>
            <sz val="9"/>
            <color indexed="81"/>
            <rFont val="Tahoma"/>
            <family val="2"/>
          </rPr>
          <t xml:space="preserve"> liver lesion </t>
        </r>
        <r>
          <rPr>
            <sz val="9"/>
            <color indexed="81"/>
            <rFont val="돋움"/>
            <family val="3"/>
            <charset val="129"/>
          </rPr>
          <t>확인되었는데</t>
        </r>
        <r>
          <rPr>
            <sz val="9"/>
            <color indexed="81"/>
            <rFont val="Tahoma"/>
            <family val="2"/>
          </rPr>
          <t xml:space="preserve"> </t>
        </r>
        <r>
          <rPr>
            <sz val="9"/>
            <color indexed="81"/>
            <rFont val="돋움"/>
            <family val="3"/>
            <charset val="129"/>
          </rPr>
          <t>그것도</t>
        </r>
        <r>
          <rPr>
            <sz val="9"/>
            <color indexed="81"/>
            <rFont val="Tahoma"/>
            <family val="2"/>
          </rPr>
          <t xml:space="preserve"> </t>
        </r>
        <r>
          <rPr>
            <sz val="9"/>
            <color indexed="81"/>
            <rFont val="돋움"/>
            <family val="3"/>
            <charset val="129"/>
          </rPr>
          <t>절제했다</t>
        </r>
        <r>
          <rPr>
            <sz val="9"/>
            <color indexed="81"/>
            <rFont val="Tahoma"/>
            <family val="2"/>
          </rPr>
          <t>.</t>
        </r>
      </text>
    </comment>
    <comment ref="CK13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liver meta</t>
        </r>
      </text>
    </comment>
    <comment ref="DI13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post op  FP #2 ( '17.10.5~ 17.11.21)</t>
        </r>
      </text>
    </comment>
    <comment ref="P13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언급</t>
        </r>
        <r>
          <rPr>
            <sz val="9"/>
            <color indexed="81"/>
            <rFont val="Tahoma"/>
            <family val="2"/>
          </rPr>
          <t xml:space="preserve"> </t>
        </r>
        <r>
          <rPr>
            <sz val="9"/>
            <color indexed="81"/>
            <rFont val="돋움"/>
            <family val="3"/>
            <charset val="129"/>
          </rPr>
          <t>없음</t>
        </r>
      </text>
    </comment>
    <comment ref="BD13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EI13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원발</t>
        </r>
        <r>
          <rPr>
            <sz val="9"/>
            <color indexed="81"/>
            <rFont val="Tahoma"/>
            <family val="2"/>
          </rPr>
          <t xml:space="preserve"> </t>
        </r>
        <r>
          <rPr>
            <sz val="9"/>
            <color indexed="81"/>
            <rFont val="돋움"/>
            <family val="3"/>
            <charset val="129"/>
          </rPr>
          <t>폐암의</t>
        </r>
        <r>
          <rPr>
            <sz val="9"/>
            <color indexed="81"/>
            <rFont val="Tahoma"/>
            <family val="2"/>
          </rPr>
          <t xml:space="preserve"> </t>
        </r>
        <r>
          <rPr>
            <sz val="9"/>
            <color indexed="81"/>
            <rFont val="돋움"/>
            <family val="3"/>
            <charset val="129"/>
          </rPr>
          <t>가능성도</t>
        </r>
        <r>
          <rPr>
            <sz val="9"/>
            <color indexed="81"/>
            <rFont val="Tahoma"/>
            <family val="2"/>
          </rPr>
          <t xml:space="preserve"> </t>
        </r>
        <r>
          <rPr>
            <sz val="9"/>
            <color indexed="81"/>
            <rFont val="돋움"/>
            <family val="3"/>
            <charset val="129"/>
          </rPr>
          <t>있음</t>
        </r>
        <r>
          <rPr>
            <sz val="9"/>
            <color indexed="81"/>
            <rFont val="Tahoma"/>
            <family val="2"/>
          </rPr>
          <t>.</t>
        </r>
      </text>
    </comment>
    <comment ref="AN13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carina </t>
        </r>
        <r>
          <rPr>
            <sz val="9"/>
            <color indexed="81"/>
            <rFont val="돋움"/>
            <family val="3"/>
            <charset val="129"/>
          </rPr>
          <t>까지는</t>
        </r>
        <r>
          <rPr>
            <sz val="9"/>
            <color indexed="81"/>
            <rFont val="Tahoma"/>
            <family val="2"/>
          </rPr>
          <t xml:space="preserve"> </t>
        </r>
        <r>
          <rPr>
            <sz val="9"/>
            <color indexed="81"/>
            <rFont val="돋움"/>
            <family val="3"/>
            <charset val="129"/>
          </rPr>
          <t>포함했더라</t>
        </r>
        <r>
          <rPr>
            <sz val="9"/>
            <color indexed="81"/>
            <rFont val="Tahoma"/>
            <family val="2"/>
          </rPr>
          <t xml:space="preserve">, 4cm </t>
        </r>
        <r>
          <rPr>
            <sz val="9"/>
            <color indexed="81"/>
            <rFont val="돋움"/>
            <family val="3"/>
            <charset val="129"/>
          </rPr>
          <t>가량</t>
        </r>
        <r>
          <rPr>
            <sz val="9"/>
            <color indexed="81"/>
            <rFont val="Tahoma"/>
            <family val="2"/>
          </rPr>
          <t>. Target volume summary</t>
        </r>
        <r>
          <rPr>
            <sz val="9"/>
            <color indexed="81"/>
            <rFont val="돋움"/>
            <family val="3"/>
            <charset val="129"/>
          </rPr>
          <t>에는</t>
        </r>
        <r>
          <rPr>
            <sz val="9"/>
            <color indexed="81"/>
            <rFont val="Tahoma"/>
            <family val="2"/>
          </rPr>
          <t xml:space="preserve"> 2cm expansion</t>
        </r>
        <r>
          <rPr>
            <sz val="9"/>
            <color indexed="81"/>
            <rFont val="돋움"/>
            <family val="3"/>
            <charset val="129"/>
          </rPr>
          <t>이라고</t>
        </r>
        <r>
          <rPr>
            <sz val="9"/>
            <color indexed="81"/>
            <rFont val="Tahoma"/>
            <family val="2"/>
          </rPr>
          <t xml:space="preserve"> </t>
        </r>
        <r>
          <rPr>
            <sz val="9"/>
            <color indexed="81"/>
            <rFont val="돋움"/>
            <family val="3"/>
            <charset val="129"/>
          </rPr>
          <t>되어있었는데</t>
        </r>
        <r>
          <rPr>
            <sz val="9"/>
            <color indexed="81"/>
            <rFont val="Tahoma"/>
            <family val="2"/>
          </rPr>
          <t>.</t>
        </r>
      </text>
    </comment>
    <comment ref="BD13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t>
        </r>
      </text>
    </comment>
    <comment ref="DF13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mild to moderate dysplasia</t>
        </r>
      </text>
    </comment>
    <comment ref="FT13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2018/3/14 </t>
        </r>
        <r>
          <rPr>
            <sz val="9"/>
            <color indexed="81"/>
            <rFont val="돋움"/>
            <family val="3"/>
            <charset val="129"/>
          </rPr>
          <t>흉부외과</t>
        </r>
        <r>
          <rPr>
            <sz val="9"/>
            <color indexed="81"/>
            <rFont val="Tahoma"/>
            <family val="2"/>
          </rPr>
          <t xml:space="preserve"> </t>
        </r>
        <r>
          <rPr>
            <sz val="9"/>
            <color indexed="81"/>
            <rFont val="돋움"/>
            <family val="3"/>
            <charset val="129"/>
          </rPr>
          <t>외래에서</t>
        </r>
        <r>
          <rPr>
            <sz val="9"/>
            <color indexed="81"/>
            <rFont val="Tahoma"/>
            <family val="2"/>
          </rPr>
          <t xml:space="preserve"> </t>
        </r>
        <r>
          <rPr>
            <sz val="9"/>
            <color indexed="81"/>
            <rFont val="돋움"/>
            <family val="3"/>
            <charset val="129"/>
          </rPr>
          <t>딱딱한건</t>
        </r>
        <r>
          <rPr>
            <sz val="9"/>
            <color indexed="81"/>
            <rFont val="Tahoma"/>
            <family val="2"/>
          </rPr>
          <t xml:space="preserve"> </t>
        </r>
        <r>
          <rPr>
            <sz val="9"/>
            <color indexed="81"/>
            <rFont val="돋움"/>
            <family val="3"/>
            <charset val="129"/>
          </rPr>
          <t>넘기기</t>
        </r>
        <r>
          <rPr>
            <sz val="9"/>
            <color indexed="81"/>
            <rFont val="Tahoma"/>
            <family val="2"/>
          </rPr>
          <t xml:space="preserve"> </t>
        </r>
        <r>
          <rPr>
            <sz val="9"/>
            <color indexed="81"/>
            <rFont val="돋움"/>
            <family val="3"/>
            <charset val="129"/>
          </rPr>
          <t>어렵다는</t>
        </r>
        <r>
          <rPr>
            <sz val="9"/>
            <color indexed="81"/>
            <rFont val="Tahoma"/>
            <family val="2"/>
          </rPr>
          <t xml:space="preserve"> </t>
        </r>
        <r>
          <rPr>
            <sz val="9"/>
            <color indexed="81"/>
            <rFont val="돋움"/>
            <family val="3"/>
            <charset val="129"/>
          </rPr>
          <t xml:space="preserve">언급
</t>
        </r>
        <r>
          <rPr>
            <sz val="9"/>
            <color indexed="81"/>
            <rFont val="Tahoma"/>
            <family val="2"/>
          </rPr>
          <t xml:space="preserve">2018/5/28 </t>
        </r>
        <r>
          <rPr>
            <sz val="9"/>
            <color indexed="81"/>
            <rFont val="돋움"/>
            <family val="3"/>
            <charset val="129"/>
          </rPr>
          <t>본과</t>
        </r>
        <r>
          <rPr>
            <sz val="9"/>
            <color indexed="81"/>
            <rFont val="Tahoma"/>
            <family val="2"/>
          </rPr>
          <t xml:space="preserve"> </t>
        </r>
        <r>
          <rPr>
            <sz val="9"/>
            <color indexed="81"/>
            <rFont val="돋움"/>
            <family val="3"/>
            <charset val="129"/>
          </rPr>
          <t>외래에서도</t>
        </r>
        <r>
          <rPr>
            <sz val="9"/>
            <color indexed="81"/>
            <rFont val="Tahoma"/>
            <family val="2"/>
          </rPr>
          <t xml:space="preserve"> dysphagia(+)</t>
        </r>
        <r>
          <rPr>
            <sz val="9"/>
            <color indexed="81"/>
            <rFont val="돋움"/>
            <family val="3"/>
            <charset val="129"/>
          </rPr>
          <t xml:space="preserve">
</t>
        </r>
        <r>
          <rPr>
            <sz val="9"/>
            <color indexed="81"/>
            <rFont val="Tahoma"/>
            <family val="2"/>
          </rPr>
          <t xml:space="preserve">2018/2/28 </t>
        </r>
        <r>
          <rPr>
            <sz val="9"/>
            <color indexed="81"/>
            <rFont val="돋움"/>
            <family val="3"/>
            <charset val="129"/>
          </rPr>
          <t>흉부외과</t>
        </r>
        <r>
          <rPr>
            <sz val="9"/>
            <color indexed="81"/>
            <rFont val="Tahoma"/>
            <family val="2"/>
          </rPr>
          <t xml:space="preserve"> </t>
        </r>
        <r>
          <rPr>
            <sz val="9"/>
            <color indexed="81"/>
            <rFont val="돋움"/>
            <family val="3"/>
            <charset val="129"/>
          </rPr>
          <t>외래</t>
        </r>
        <r>
          <rPr>
            <sz val="9"/>
            <color indexed="81"/>
            <rFont val="Tahoma"/>
            <family val="2"/>
          </rPr>
          <t xml:space="preserve"> cough+, DOE+ (RT pneumonitis </t>
        </r>
        <r>
          <rPr>
            <sz val="9"/>
            <color indexed="81"/>
            <rFont val="돋움"/>
            <family val="3"/>
            <charset val="129"/>
          </rPr>
          <t>관련</t>
        </r>
        <r>
          <rPr>
            <sz val="9"/>
            <color indexed="81"/>
            <rFont val="Tahoma"/>
            <family val="2"/>
          </rPr>
          <t>?)</t>
        </r>
      </text>
    </comment>
    <comment ref="FU13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Anastomotic stricture, </t>
        </r>
        <r>
          <rPr>
            <sz val="9"/>
            <color indexed="81"/>
            <rFont val="돋움"/>
            <family val="3"/>
            <charset val="129"/>
          </rPr>
          <t>다만</t>
        </r>
        <r>
          <rPr>
            <sz val="9"/>
            <color indexed="81"/>
            <rFont val="Tahoma"/>
            <family val="2"/>
          </rPr>
          <t xml:space="preserve"> further management</t>
        </r>
        <r>
          <rPr>
            <sz val="9"/>
            <color indexed="81"/>
            <rFont val="돋움"/>
            <family val="3"/>
            <charset val="129"/>
          </rPr>
          <t>는</t>
        </r>
        <r>
          <rPr>
            <sz val="9"/>
            <color indexed="81"/>
            <rFont val="Tahoma"/>
            <family val="2"/>
          </rPr>
          <t xml:space="preserve"> </t>
        </r>
        <r>
          <rPr>
            <sz val="9"/>
            <color indexed="81"/>
            <rFont val="돋움"/>
            <family val="3"/>
            <charset val="129"/>
          </rPr>
          <t>시행하지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관련된</t>
        </r>
        <r>
          <rPr>
            <sz val="9"/>
            <color indexed="81"/>
            <rFont val="Tahoma"/>
            <family val="2"/>
          </rPr>
          <t xml:space="preserve"> </t>
        </r>
        <r>
          <rPr>
            <sz val="9"/>
            <color indexed="81"/>
            <rFont val="돋움"/>
            <family val="3"/>
            <charset val="129"/>
          </rPr>
          <t>증상이</t>
        </r>
        <r>
          <rPr>
            <sz val="9"/>
            <color indexed="81"/>
            <rFont val="Tahoma"/>
            <family val="2"/>
          </rPr>
          <t xml:space="preserve"> </t>
        </r>
        <r>
          <rPr>
            <sz val="9"/>
            <color indexed="81"/>
            <rFont val="돋움"/>
            <family val="3"/>
            <charset val="129"/>
          </rPr>
          <t>명확하지</t>
        </r>
        <r>
          <rPr>
            <sz val="9"/>
            <color indexed="81"/>
            <rFont val="Tahoma"/>
            <family val="2"/>
          </rPr>
          <t xml:space="preserve"> </t>
        </r>
        <r>
          <rPr>
            <sz val="9"/>
            <color indexed="81"/>
            <rFont val="돋움"/>
            <family val="3"/>
            <charset val="129"/>
          </rPr>
          <t>않아서</t>
        </r>
        <r>
          <rPr>
            <sz val="9"/>
            <color indexed="81"/>
            <rFont val="Tahoma"/>
            <family val="2"/>
          </rPr>
          <t xml:space="preserve"> </t>
        </r>
        <r>
          <rPr>
            <sz val="9"/>
            <color indexed="81"/>
            <rFont val="돋움"/>
            <family val="3"/>
            <charset val="129"/>
          </rPr>
          <t>애매</t>
        </r>
        <r>
          <rPr>
            <sz val="9"/>
            <color indexed="81"/>
            <rFont val="Tahoma"/>
            <family val="2"/>
          </rPr>
          <t>.</t>
        </r>
      </text>
    </comment>
    <comment ref="AF13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SCN</t>
        </r>
      </text>
    </comment>
    <comment ref="AV13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언급이</t>
        </r>
        <r>
          <rPr>
            <sz val="9"/>
            <color indexed="81"/>
            <rFont val="Tahoma"/>
            <family val="2"/>
          </rPr>
          <t xml:space="preserve"> </t>
        </r>
        <r>
          <rPr>
            <sz val="9"/>
            <color indexed="81"/>
            <rFont val="돋움"/>
            <family val="3"/>
            <charset val="129"/>
          </rPr>
          <t>빠져있다</t>
        </r>
        <r>
          <rPr>
            <sz val="9"/>
            <color indexed="81"/>
            <rFont val="Tahoma"/>
            <family val="2"/>
          </rPr>
          <t xml:space="preserve">. </t>
        </r>
        <r>
          <rPr>
            <sz val="9"/>
            <color indexed="81"/>
            <rFont val="돋움"/>
            <family val="3"/>
            <charset val="129"/>
          </rPr>
          <t>대충</t>
        </r>
        <r>
          <rPr>
            <sz val="9"/>
            <color indexed="81"/>
            <rFont val="Tahoma"/>
            <family val="2"/>
          </rPr>
          <t xml:space="preserve"> 0.5-0.7 </t>
        </r>
        <r>
          <rPr>
            <sz val="9"/>
            <color indexed="81"/>
            <rFont val="돋움"/>
            <family val="3"/>
            <charset val="129"/>
          </rPr>
          <t>정도인</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같은데</t>
        </r>
        <r>
          <rPr>
            <sz val="9"/>
            <color indexed="81"/>
            <rFont val="Tahoma"/>
            <family val="2"/>
          </rPr>
          <t xml:space="preserve"> elective field</t>
        </r>
        <r>
          <rPr>
            <sz val="9"/>
            <color indexed="81"/>
            <rFont val="돋움"/>
            <family val="3"/>
            <charset val="129"/>
          </rPr>
          <t>에</t>
        </r>
        <r>
          <rPr>
            <sz val="9"/>
            <color indexed="81"/>
            <rFont val="Tahoma"/>
            <family val="2"/>
          </rPr>
          <t xml:space="preserve"> </t>
        </r>
        <r>
          <rPr>
            <sz val="9"/>
            <color indexed="81"/>
            <rFont val="돋움"/>
            <family val="3"/>
            <charset val="129"/>
          </rPr>
          <t>포함되어</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애초에</t>
        </r>
        <r>
          <rPr>
            <sz val="9"/>
            <color indexed="81"/>
            <rFont val="Tahoma"/>
            <family val="2"/>
          </rPr>
          <t>.</t>
        </r>
      </text>
    </comment>
    <comment ref="AZ13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 0.7-1.0
LN: 1.0</t>
        </r>
      </text>
    </comment>
    <comment ref="DI13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 FP #2 ('18.4.6~ 18.4.27) </t>
        </r>
      </text>
    </comment>
    <comment ref="FS13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2018/1/17 </t>
        </r>
        <r>
          <rPr>
            <sz val="9"/>
            <color indexed="81"/>
            <rFont val="돋움"/>
            <family val="3"/>
            <charset val="129"/>
          </rPr>
          <t>종양내과</t>
        </r>
        <r>
          <rPr>
            <sz val="9"/>
            <color indexed="81"/>
            <rFont val="Tahoma"/>
            <family val="2"/>
          </rPr>
          <t xml:space="preserve"> </t>
        </r>
        <r>
          <rPr>
            <sz val="9"/>
            <color indexed="81"/>
            <rFont val="돋움"/>
            <family val="3"/>
            <charset val="129"/>
          </rPr>
          <t>기록</t>
        </r>
        <r>
          <rPr>
            <sz val="9"/>
            <color indexed="81"/>
            <rFont val="Tahoma"/>
            <family val="2"/>
          </rPr>
          <t xml:space="preserve"> dysphagia++</t>
        </r>
      </text>
    </comment>
    <comment ref="FT13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지속적으로</t>
        </r>
        <r>
          <rPr>
            <sz val="9"/>
            <color indexed="81"/>
            <rFont val="Tahoma"/>
            <family val="2"/>
          </rPr>
          <t xml:space="preserve"> oral intake</t>
        </r>
        <r>
          <rPr>
            <sz val="9"/>
            <color indexed="81"/>
            <rFont val="돋움"/>
            <family val="3"/>
            <charset val="129"/>
          </rPr>
          <t>가</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별로였나</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기술이</t>
        </r>
        <r>
          <rPr>
            <sz val="9"/>
            <color indexed="81"/>
            <rFont val="Tahoma"/>
            <family val="2"/>
          </rPr>
          <t xml:space="preserve"> </t>
        </r>
        <r>
          <rPr>
            <sz val="9"/>
            <color indexed="81"/>
            <rFont val="돋움"/>
            <family val="3"/>
            <charset val="129"/>
          </rPr>
          <t>명확하지</t>
        </r>
        <r>
          <rPr>
            <sz val="9"/>
            <color indexed="81"/>
            <rFont val="Tahoma"/>
            <family val="2"/>
          </rPr>
          <t xml:space="preserve"> </t>
        </r>
        <r>
          <rPr>
            <sz val="9"/>
            <color indexed="81"/>
            <rFont val="돋움"/>
            <family val="3"/>
            <charset val="129"/>
          </rPr>
          <t>않으니</t>
        </r>
        <r>
          <rPr>
            <sz val="9"/>
            <color indexed="81"/>
            <rFont val="Tahoma"/>
            <family val="2"/>
          </rPr>
          <t xml:space="preserve"> </t>
        </r>
        <r>
          <rPr>
            <sz val="9"/>
            <color indexed="81"/>
            <rFont val="돋움"/>
            <family val="3"/>
            <charset val="129"/>
          </rPr>
          <t>원</t>
        </r>
        <r>
          <rPr>
            <sz val="9"/>
            <color indexed="81"/>
            <rFont val="Tahoma"/>
            <family val="2"/>
          </rPr>
          <t>. (</t>
        </r>
        <r>
          <rPr>
            <sz val="9"/>
            <color indexed="81"/>
            <rFont val="돋움"/>
            <family val="3"/>
            <charset val="129"/>
          </rPr>
          <t>거기에</t>
        </r>
        <r>
          <rPr>
            <sz val="9"/>
            <color indexed="81"/>
            <rFont val="Tahoma"/>
            <family val="2"/>
          </rPr>
          <t xml:space="preserve"> chemotherapy </t>
        </r>
        <r>
          <rPr>
            <sz val="9"/>
            <color indexed="81"/>
            <rFont val="돋움"/>
            <family val="3"/>
            <charset val="129"/>
          </rPr>
          <t>지속한</t>
        </r>
        <r>
          <rPr>
            <sz val="9"/>
            <color indexed="81"/>
            <rFont val="Tahoma"/>
            <family val="2"/>
          </rPr>
          <t xml:space="preserve"> </t>
        </r>
        <r>
          <rPr>
            <sz val="9"/>
            <color indexed="81"/>
            <rFont val="돋움"/>
            <family val="3"/>
            <charset val="129"/>
          </rPr>
          <t>것도</t>
        </r>
        <r>
          <rPr>
            <sz val="9"/>
            <color indexed="81"/>
            <rFont val="Tahoma"/>
            <family val="2"/>
          </rPr>
          <t xml:space="preserve"> </t>
        </r>
        <r>
          <rPr>
            <sz val="9"/>
            <color indexed="81"/>
            <rFont val="돋움"/>
            <family val="3"/>
            <charset val="129"/>
          </rPr>
          <t>있고</t>
        </r>
        <r>
          <rPr>
            <sz val="9"/>
            <color indexed="81"/>
            <rFont val="Tahoma"/>
            <family val="2"/>
          </rPr>
          <t>.)</t>
        </r>
      </text>
    </comment>
    <comment ref="AF14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SCN</t>
        </r>
      </text>
    </comment>
    <comment ref="CD140" authorId="1" shapeId="0">
      <text>
        <r>
          <rPr>
            <b/>
            <sz val="9"/>
            <color indexed="81"/>
            <rFont val="Tahoma"/>
            <family val="2"/>
          </rPr>
          <t>SNUH:</t>
        </r>
        <r>
          <rPr>
            <sz val="9"/>
            <color indexed="81"/>
            <rFont val="Tahoma"/>
            <family val="2"/>
          </rPr>
          <t xml:space="preserve">
"without discernible hypermetabolism."</t>
        </r>
      </text>
    </comment>
    <comment ref="DI14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post op  DP #2 ('18.5.11~ 18.7.9) -&gt; Recur (18.11)</t>
        </r>
      </text>
    </comment>
    <comment ref="FS14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aspiration, cough - 2018/5/2 </t>
        </r>
        <r>
          <rPr>
            <sz val="9"/>
            <color indexed="81"/>
            <rFont val="돋움"/>
            <family val="3"/>
            <charset val="129"/>
          </rPr>
          <t>흉부외과</t>
        </r>
        <r>
          <rPr>
            <sz val="9"/>
            <color indexed="81"/>
            <rFont val="Tahoma"/>
            <family val="2"/>
          </rPr>
          <t xml:space="preserve"> </t>
        </r>
        <r>
          <rPr>
            <sz val="9"/>
            <color indexed="81"/>
            <rFont val="돋움"/>
            <family val="3"/>
            <charset val="129"/>
          </rPr>
          <t>기록</t>
        </r>
        <r>
          <rPr>
            <sz val="9"/>
            <color indexed="81"/>
            <rFont val="Tahoma"/>
            <family val="2"/>
          </rPr>
          <t>. (</t>
        </r>
        <r>
          <rPr>
            <sz val="9"/>
            <color indexed="81"/>
            <rFont val="돋움"/>
            <family val="3"/>
            <charset val="129"/>
          </rPr>
          <t>왠지</t>
        </r>
        <r>
          <rPr>
            <sz val="9"/>
            <color indexed="81"/>
            <rFont val="Tahoma"/>
            <family val="2"/>
          </rPr>
          <t xml:space="preserve"> </t>
        </r>
        <r>
          <rPr>
            <sz val="9"/>
            <color indexed="81"/>
            <rFont val="돋움"/>
            <family val="3"/>
            <charset val="129"/>
          </rPr>
          <t>수술</t>
        </r>
        <r>
          <rPr>
            <sz val="9"/>
            <color indexed="81"/>
            <rFont val="Tahoma"/>
            <family val="2"/>
          </rPr>
          <t xml:space="preserve"> </t>
        </r>
        <r>
          <rPr>
            <sz val="9"/>
            <color indexed="81"/>
            <rFont val="돋움"/>
            <family val="3"/>
            <charset val="129"/>
          </rPr>
          <t>때문인</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같지만</t>
        </r>
        <r>
          <rPr>
            <sz val="9"/>
            <color indexed="81"/>
            <rFont val="Tahoma"/>
            <family val="2"/>
          </rPr>
          <t xml:space="preserve">)
dysphagia - 2018/2/26 </t>
        </r>
        <r>
          <rPr>
            <sz val="9"/>
            <color indexed="81"/>
            <rFont val="돋움"/>
            <family val="3"/>
            <charset val="129"/>
          </rPr>
          <t>내과</t>
        </r>
        <r>
          <rPr>
            <sz val="9"/>
            <color indexed="81"/>
            <rFont val="Tahoma"/>
            <family val="2"/>
          </rPr>
          <t xml:space="preserve"> </t>
        </r>
        <r>
          <rPr>
            <sz val="9"/>
            <color indexed="81"/>
            <rFont val="돋움"/>
            <family val="3"/>
            <charset val="129"/>
          </rPr>
          <t>기록</t>
        </r>
        <r>
          <rPr>
            <sz val="9"/>
            <color indexed="81"/>
            <rFont val="Tahoma"/>
            <family val="2"/>
          </rPr>
          <t>, gr 2</t>
        </r>
        <r>
          <rPr>
            <sz val="9"/>
            <color indexed="81"/>
            <rFont val="돋움"/>
            <family val="3"/>
            <charset val="129"/>
          </rPr>
          <t>로</t>
        </r>
        <r>
          <rPr>
            <sz val="9"/>
            <color indexed="81"/>
            <rFont val="Tahoma"/>
            <family val="2"/>
          </rPr>
          <t xml:space="preserve"> </t>
        </r>
        <r>
          <rPr>
            <sz val="9"/>
            <color indexed="81"/>
            <rFont val="돋움"/>
            <family val="3"/>
            <charset val="129"/>
          </rPr>
          <t>평가함</t>
        </r>
      </text>
    </comment>
    <comment ref="FT14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2018/8/29 </t>
        </r>
        <r>
          <rPr>
            <sz val="9"/>
            <color indexed="81"/>
            <rFont val="돋움"/>
            <family val="3"/>
            <charset val="129"/>
          </rPr>
          <t>흉부외과</t>
        </r>
        <r>
          <rPr>
            <sz val="9"/>
            <color indexed="81"/>
            <rFont val="Tahoma"/>
            <family val="2"/>
          </rPr>
          <t xml:space="preserve"> </t>
        </r>
        <r>
          <rPr>
            <sz val="9"/>
            <color indexed="81"/>
            <rFont val="돋움"/>
            <family val="3"/>
            <charset val="129"/>
          </rPr>
          <t xml:space="preserve">기록
</t>
        </r>
        <r>
          <rPr>
            <sz val="9"/>
            <color indexed="81"/>
            <rFont val="Tahoma"/>
            <family val="2"/>
          </rPr>
          <t xml:space="preserve">recurrence </t>
        </r>
        <r>
          <rPr>
            <sz val="9"/>
            <color indexed="81"/>
            <rFont val="돋움"/>
            <family val="3"/>
            <charset val="129"/>
          </rPr>
          <t>이후</t>
        </r>
        <r>
          <rPr>
            <sz val="9"/>
            <color indexed="81"/>
            <rFont val="Tahoma"/>
            <family val="2"/>
          </rPr>
          <t xml:space="preserve"> chemotherapy </t>
        </r>
        <r>
          <rPr>
            <sz val="9"/>
            <color indexed="81"/>
            <rFont val="돋움"/>
            <family val="3"/>
            <charset val="129"/>
          </rPr>
          <t>하면서</t>
        </r>
        <r>
          <rPr>
            <sz val="9"/>
            <color indexed="81"/>
            <rFont val="Tahoma"/>
            <family val="2"/>
          </rPr>
          <t xml:space="preserve"> </t>
        </r>
        <r>
          <rPr>
            <sz val="9"/>
            <color indexed="81"/>
            <rFont val="돋움"/>
            <family val="3"/>
            <charset val="129"/>
          </rPr>
          <t>타원</t>
        </r>
        <r>
          <rPr>
            <sz val="9"/>
            <color indexed="81"/>
            <rFont val="Tahoma"/>
            <family val="2"/>
          </rPr>
          <t xml:space="preserve"> </t>
        </r>
        <r>
          <rPr>
            <sz val="9"/>
            <color indexed="81"/>
            <rFont val="돋움"/>
            <family val="3"/>
            <charset val="129"/>
          </rPr>
          <t>입원도</t>
        </r>
        <r>
          <rPr>
            <sz val="9"/>
            <color indexed="81"/>
            <rFont val="Tahoma"/>
            <family val="2"/>
          </rPr>
          <t xml:space="preserve"> </t>
        </r>
        <r>
          <rPr>
            <sz val="9"/>
            <color indexed="81"/>
            <rFont val="돋움"/>
            <family val="3"/>
            <charset val="129"/>
          </rPr>
          <t>하고</t>
        </r>
        <r>
          <rPr>
            <sz val="9"/>
            <color indexed="81"/>
            <rFont val="Tahoma"/>
            <family val="2"/>
          </rPr>
          <t>...</t>
        </r>
      </text>
    </comment>
    <comment ref="CV14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radial</t>
        </r>
      </text>
    </comment>
    <comment ref="DI14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adjuvant FP #2 (2018/5/30 - 6/26)</t>
        </r>
      </text>
    </comment>
    <comment ref="DM14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타원에서</t>
        </r>
        <r>
          <rPr>
            <sz val="9"/>
            <color indexed="81"/>
            <rFont val="Tahoma"/>
            <family val="2"/>
          </rPr>
          <t xml:space="preserve"> multiple metastasis</t>
        </r>
        <r>
          <rPr>
            <sz val="9"/>
            <color indexed="81"/>
            <rFont val="돋움"/>
            <family val="3"/>
            <charset val="129"/>
          </rPr>
          <t>였다는</t>
        </r>
        <r>
          <rPr>
            <sz val="9"/>
            <color indexed="81"/>
            <rFont val="Tahoma"/>
            <family val="2"/>
          </rPr>
          <t xml:space="preserve"> </t>
        </r>
        <r>
          <rPr>
            <sz val="9"/>
            <color indexed="81"/>
            <rFont val="돋움"/>
            <family val="3"/>
            <charset val="129"/>
          </rPr>
          <t>말만</t>
        </r>
        <r>
          <rPr>
            <sz val="9"/>
            <color indexed="81"/>
            <rFont val="Tahoma"/>
            <family val="2"/>
          </rPr>
          <t xml:space="preserve"> </t>
        </r>
        <r>
          <rPr>
            <sz val="9"/>
            <color indexed="81"/>
            <rFont val="돋움"/>
            <family val="3"/>
            <charset val="129"/>
          </rPr>
          <t>전해들었지</t>
        </r>
        <r>
          <rPr>
            <sz val="9"/>
            <color indexed="81"/>
            <rFont val="Tahoma"/>
            <family val="2"/>
          </rPr>
          <t xml:space="preserve"> </t>
        </r>
        <r>
          <rPr>
            <sz val="9"/>
            <color indexed="81"/>
            <rFont val="돋움"/>
            <family val="3"/>
            <charset val="129"/>
          </rPr>
          <t>본원에서</t>
        </r>
        <r>
          <rPr>
            <sz val="9"/>
            <color indexed="81"/>
            <rFont val="Tahoma"/>
            <family val="2"/>
          </rPr>
          <t xml:space="preserve"> </t>
        </r>
        <r>
          <rPr>
            <sz val="9"/>
            <color indexed="81"/>
            <rFont val="돋움"/>
            <family val="3"/>
            <charset val="129"/>
          </rPr>
          <t>확인된</t>
        </r>
        <r>
          <rPr>
            <sz val="9"/>
            <color indexed="81"/>
            <rFont val="Tahoma"/>
            <family val="2"/>
          </rPr>
          <t xml:space="preserve"> </t>
        </r>
        <r>
          <rPr>
            <sz val="9"/>
            <color indexed="81"/>
            <rFont val="돋움"/>
            <family val="3"/>
            <charset val="129"/>
          </rPr>
          <t>바가</t>
        </r>
        <r>
          <rPr>
            <sz val="9"/>
            <color indexed="81"/>
            <rFont val="Tahoma"/>
            <family val="2"/>
          </rPr>
          <t xml:space="preserve"> </t>
        </r>
        <r>
          <rPr>
            <sz val="9"/>
            <color indexed="81"/>
            <rFont val="돋움"/>
            <family val="3"/>
            <charset val="129"/>
          </rPr>
          <t>없다</t>
        </r>
        <r>
          <rPr>
            <sz val="9"/>
            <color indexed="81"/>
            <rFont val="Tahoma"/>
            <family val="2"/>
          </rPr>
          <t>.</t>
        </r>
      </text>
    </comment>
    <comment ref="FS14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2018/7/9 </t>
        </r>
        <r>
          <rPr>
            <sz val="9"/>
            <color indexed="81"/>
            <rFont val="돋움"/>
            <family val="3"/>
            <charset val="129"/>
          </rPr>
          <t>방사선종양학과</t>
        </r>
        <r>
          <rPr>
            <sz val="9"/>
            <color indexed="81"/>
            <rFont val="Tahoma"/>
            <family val="2"/>
          </rPr>
          <t xml:space="preserve"> </t>
        </r>
        <r>
          <rPr>
            <sz val="9"/>
            <color indexed="81"/>
            <rFont val="돋움"/>
            <family val="3"/>
            <charset val="129"/>
          </rPr>
          <t xml:space="preserve">외래기록
</t>
        </r>
        <r>
          <rPr>
            <sz val="9"/>
            <color indexed="81"/>
            <rFont val="Tahoma"/>
            <family val="2"/>
          </rPr>
          <t>grade 1?</t>
        </r>
      </text>
    </comment>
    <comment ref="FT142" authorId="0" shapeId="0">
      <text>
        <r>
          <rPr>
            <b/>
            <sz val="9"/>
            <color indexed="81"/>
            <rFont val="Tahoma"/>
            <family val="2"/>
          </rPr>
          <t xml:space="preserve">Windows </t>
        </r>
        <r>
          <rPr>
            <b/>
            <sz val="9"/>
            <color indexed="81"/>
            <rFont val="돋움"/>
            <family val="3"/>
            <charset val="129"/>
          </rPr>
          <t>사용자</t>
        </r>
        <r>
          <rPr>
            <b/>
            <sz val="9"/>
            <color indexed="81"/>
            <rFont val="Tahoma"/>
            <family val="2"/>
          </rPr>
          <t xml:space="preserve">:
</t>
        </r>
        <r>
          <rPr>
            <sz val="9"/>
            <color indexed="81"/>
            <rFont val="돋움"/>
            <family val="3"/>
            <charset val="129"/>
          </rPr>
          <t>흉부외과</t>
        </r>
        <r>
          <rPr>
            <sz val="9"/>
            <color indexed="81"/>
            <rFont val="Tahoma"/>
            <family val="2"/>
          </rPr>
          <t xml:space="preserve"> </t>
        </r>
        <r>
          <rPr>
            <sz val="9"/>
            <color indexed="81"/>
            <rFont val="돋움"/>
            <family val="3"/>
            <charset val="129"/>
          </rPr>
          <t>기록에</t>
        </r>
        <r>
          <rPr>
            <sz val="9"/>
            <color indexed="81"/>
            <rFont val="Tahoma"/>
            <family val="2"/>
          </rPr>
          <t xml:space="preserve"> '</t>
        </r>
        <r>
          <rPr>
            <sz val="9"/>
            <color indexed="81"/>
            <rFont val="돋움"/>
            <family val="3"/>
            <charset val="129"/>
          </rPr>
          <t>목에</t>
        </r>
        <r>
          <rPr>
            <sz val="9"/>
            <color indexed="81"/>
            <rFont val="Tahoma"/>
            <family val="2"/>
          </rPr>
          <t xml:space="preserve"> </t>
        </r>
        <r>
          <rPr>
            <sz val="9"/>
            <color indexed="81"/>
            <rFont val="돋움"/>
            <family val="3"/>
            <charset val="129"/>
          </rPr>
          <t>걸린</t>
        </r>
        <r>
          <rPr>
            <sz val="9"/>
            <color indexed="81"/>
            <rFont val="Tahoma"/>
            <family val="2"/>
          </rPr>
          <t xml:space="preserve"> </t>
        </r>
        <r>
          <rPr>
            <sz val="9"/>
            <color indexed="81"/>
            <rFont val="돋움"/>
            <family val="3"/>
            <charset val="129"/>
          </rPr>
          <t>듯한</t>
        </r>
        <r>
          <rPr>
            <sz val="9"/>
            <color indexed="81"/>
            <rFont val="Tahoma"/>
            <family val="2"/>
          </rPr>
          <t xml:space="preserve"> </t>
        </r>
        <r>
          <rPr>
            <sz val="9"/>
            <color indexed="81"/>
            <rFont val="돋움"/>
            <family val="3"/>
            <charset val="129"/>
          </rPr>
          <t>느낌</t>
        </r>
        <r>
          <rPr>
            <sz val="9"/>
            <color indexed="81"/>
            <rFont val="Tahoma"/>
            <family val="2"/>
          </rPr>
          <t>'</t>
        </r>
        <r>
          <rPr>
            <sz val="9"/>
            <color indexed="81"/>
            <rFont val="돋움"/>
            <family val="3"/>
            <charset val="129"/>
          </rPr>
          <t>이</t>
        </r>
        <r>
          <rPr>
            <sz val="9"/>
            <color indexed="81"/>
            <rFont val="Tahoma"/>
            <family val="2"/>
          </rPr>
          <t xml:space="preserve"> </t>
        </r>
        <r>
          <rPr>
            <sz val="9"/>
            <color indexed="81"/>
            <rFont val="돋움"/>
            <family val="3"/>
            <charset val="129"/>
          </rPr>
          <t>자주</t>
        </r>
        <r>
          <rPr>
            <sz val="9"/>
            <color indexed="81"/>
            <rFont val="Tahoma"/>
            <family val="2"/>
          </rPr>
          <t xml:space="preserve"> </t>
        </r>
        <r>
          <rPr>
            <sz val="9"/>
            <color indexed="81"/>
            <rFont val="돋움"/>
            <family val="3"/>
            <charset val="129"/>
          </rPr>
          <t>등장함</t>
        </r>
      </text>
    </comment>
    <comment ref="AF1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lower neck or thyroid</t>
        </r>
      </text>
    </comment>
    <comment ref="AG1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일단</t>
        </r>
        <r>
          <rPr>
            <sz val="9"/>
            <color indexed="81"/>
            <rFont val="Tahoma"/>
            <family val="2"/>
          </rPr>
          <t xml:space="preserve"> neck</t>
        </r>
        <r>
          <rPr>
            <sz val="9"/>
            <color indexed="81"/>
            <rFont val="돋움"/>
            <family val="3"/>
            <charset val="129"/>
          </rPr>
          <t>으로</t>
        </r>
        <r>
          <rPr>
            <sz val="9"/>
            <color indexed="81"/>
            <rFont val="Tahoma"/>
            <family val="2"/>
          </rPr>
          <t xml:space="preserve"> </t>
        </r>
        <r>
          <rPr>
            <sz val="9"/>
            <color indexed="81"/>
            <rFont val="돋움"/>
            <family val="3"/>
            <charset val="129"/>
          </rPr>
          <t>간주한다</t>
        </r>
      </text>
    </comment>
    <comment ref="AN1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text>
    </comment>
    <comment ref="AO1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SCL</t>
        </r>
        <r>
          <rPr>
            <sz val="9"/>
            <color indexed="81"/>
            <rFont val="돋움"/>
            <family val="3"/>
            <charset val="129"/>
          </rPr>
          <t>에는</t>
        </r>
        <r>
          <rPr>
            <sz val="9"/>
            <color indexed="81"/>
            <rFont val="Tahoma"/>
            <family val="2"/>
          </rPr>
          <t xml:space="preserve"> meta </t>
        </r>
        <r>
          <rPr>
            <sz val="9"/>
            <color indexed="81"/>
            <rFont val="돋움"/>
            <family val="3"/>
            <charset val="129"/>
          </rPr>
          <t>소견은</t>
        </r>
        <r>
          <rPr>
            <sz val="9"/>
            <color indexed="81"/>
            <rFont val="Tahoma"/>
            <family val="2"/>
          </rPr>
          <t xml:space="preserve"> </t>
        </r>
        <r>
          <rPr>
            <sz val="9"/>
            <color indexed="81"/>
            <rFont val="돋움"/>
            <family val="3"/>
            <charset val="129"/>
          </rPr>
          <t>없었으나</t>
        </r>
        <r>
          <rPr>
            <sz val="9"/>
            <color indexed="81"/>
            <rFont val="Tahoma"/>
            <family val="2"/>
          </rPr>
          <t xml:space="preserve"> CTV</t>
        </r>
        <r>
          <rPr>
            <sz val="9"/>
            <color indexed="81"/>
            <rFont val="돋움"/>
            <family val="3"/>
            <charset val="129"/>
          </rPr>
          <t>가</t>
        </r>
        <r>
          <rPr>
            <sz val="9"/>
            <color indexed="81"/>
            <rFont val="Tahoma"/>
            <family val="2"/>
          </rPr>
          <t xml:space="preserve"> </t>
        </r>
        <r>
          <rPr>
            <sz val="9"/>
            <color indexed="81"/>
            <rFont val="돋움"/>
            <family val="3"/>
            <charset val="129"/>
          </rPr>
          <t>있다</t>
        </r>
        <r>
          <rPr>
            <sz val="9"/>
            <color indexed="81"/>
            <rFont val="Tahoma"/>
            <family val="2"/>
          </rPr>
          <t>.</t>
        </r>
      </text>
    </comment>
    <comment ref="CD143" authorId="1" shapeId="0">
      <text>
        <r>
          <rPr>
            <b/>
            <sz val="9"/>
            <color indexed="81"/>
            <rFont val="Tahoma"/>
            <family val="2"/>
          </rPr>
          <t>SNUH:</t>
        </r>
        <r>
          <rPr>
            <sz val="9"/>
            <color indexed="81"/>
            <rFont val="Tahoma"/>
            <family val="2"/>
          </rPr>
          <t xml:space="preserve">
"Diffuse linear hypermetabolism along upper to mid esophagus, most likely RT change"</t>
        </r>
      </text>
    </comment>
    <comment ref="FT14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2018/8/1 </t>
        </r>
        <r>
          <rPr>
            <sz val="9"/>
            <color indexed="81"/>
            <rFont val="돋움"/>
            <family val="3"/>
            <charset val="129"/>
          </rPr>
          <t>흉부외과</t>
        </r>
        <r>
          <rPr>
            <sz val="9"/>
            <color indexed="81"/>
            <rFont val="Tahoma"/>
            <family val="2"/>
          </rPr>
          <t xml:space="preserve"> </t>
        </r>
        <r>
          <rPr>
            <sz val="9"/>
            <color indexed="81"/>
            <rFont val="돋움"/>
            <family val="3"/>
            <charset val="129"/>
          </rPr>
          <t>외래기록</t>
        </r>
      </text>
    </comment>
    <comment ref="AD1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para-esophageal</t>
        </r>
        <r>
          <rPr>
            <sz val="9"/>
            <color indexed="81"/>
            <rFont val="돋움"/>
            <family val="3"/>
            <charset val="129"/>
          </rPr>
          <t>로</t>
        </r>
        <r>
          <rPr>
            <sz val="9"/>
            <color indexed="81"/>
            <rFont val="Tahoma"/>
            <family val="2"/>
          </rPr>
          <t xml:space="preserve"> </t>
        </r>
        <r>
          <rPr>
            <sz val="9"/>
            <color indexed="81"/>
            <rFont val="돋움"/>
            <family val="3"/>
            <charset val="129"/>
          </rPr>
          <t>간주할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있나</t>
        </r>
        <r>
          <rPr>
            <sz val="9"/>
            <color indexed="81"/>
            <rFont val="Tahoma"/>
            <family val="2"/>
          </rPr>
          <t>…?</t>
        </r>
      </text>
    </comment>
    <comment ref="AN1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 </t>
        </r>
        <r>
          <rPr>
            <sz val="9"/>
            <color indexed="81"/>
            <rFont val="돋움"/>
            <family val="3"/>
            <charset val="129"/>
          </rPr>
          <t>다만</t>
        </r>
        <r>
          <rPr>
            <sz val="9"/>
            <color indexed="81"/>
            <rFont val="Tahoma"/>
            <family val="2"/>
          </rPr>
          <t xml:space="preserve"> uppermost LN involvement </t>
        </r>
        <r>
          <rPr>
            <sz val="9"/>
            <color indexed="81"/>
            <rFont val="돋움"/>
            <family val="3"/>
            <charset val="129"/>
          </rPr>
          <t>있음</t>
        </r>
        <r>
          <rPr>
            <sz val="9"/>
            <color indexed="81"/>
            <rFont val="Tahoma"/>
            <family val="2"/>
          </rPr>
          <t>.</t>
        </r>
      </text>
    </comment>
    <comment ref="DI1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 FP #4 (18.9.5-11.13)</t>
        </r>
      </text>
    </comment>
    <comment ref="EV14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brain</t>
        </r>
      </text>
    </comment>
    <comment ref="AN14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 </t>
        </r>
        <r>
          <rPr>
            <sz val="9"/>
            <color indexed="81"/>
            <rFont val="돋움"/>
            <family val="3"/>
            <charset val="129"/>
          </rPr>
          <t>다만</t>
        </r>
        <r>
          <rPr>
            <sz val="9"/>
            <color indexed="81"/>
            <rFont val="Tahoma"/>
            <family val="2"/>
          </rPr>
          <t xml:space="preserve"> uppermost LN involvement </t>
        </r>
        <r>
          <rPr>
            <sz val="9"/>
            <color indexed="81"/>
            <rFont val="돋움"/>
            <family val="3"/>
            <charset val="129"/>
          </rPr>
          <t>있음</t>
        </r>
        <r>
          <rPr>
            <sz val="9"/>
            <color indexed="81"/>
            <rFont val="Tahoma"/>
            <family val="2"/>
          </rPr>
          <t>.</t>
        </r>
      </text>
    </comment>
    <comment ref="CQ14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mm </t>
        </r>
        <r>
          <rPr>
            <sz val="9"/>
            <color indexed="81"/>
            <rFont val="돋움"/>
            <family val="3"/>
            <charset val="129"/>
          </rPr>
          <t>이거</t>
        </r>
        <r>
          <rPr>
            <sz val="9"/>
            <color indexed="81"/>
            <rFont val="Tahoma"/>
            <family val="2"/>
          </rPr>
          <t xml:space="preserve"> </t>
        </r>
        <r>
          <rPr>
            <sz val="9"/>
            <color indexed="81"/>
            <rFont val="돋움"/>
            <family val="3"/>
            <charset val="129"/>
          </rPr>
          <t>오타</t>
        </r>
        <r>
          <rPr>
            <sz val="9"/>
            <color indexed="81"/>
            <rFont val="Tahoma"/>
            <family val="2"/>
          </rPr>
          <t xml:space="preserve"> </t>
        </r>
        <r>
          <rPr>
            <sz val="9"/>
            <color indexed="81"/>
            <rFont val="돋움"/>
            <family val="3"/>
            <charset val="129"/>
          </rPr>
          <t>아님</t>
        </r>
        <r>
          <rPr>
            <sz val="9"/>
            <color indexed="81"/>
            <rFont val="Tahoma"/>
            <family val="2"/>
          </rPr>
          <t xml:space="preserve">? </t>
        </r>
        <r>
          <rPr>
            <sz val="9"/>
            <color indexed="81"/>
            <rFont val="돋움"/>
            <family val="3"/>
            <charset val="129"/>
          </rPr>
          <t>저렇게</t>
        </r>
        <r>
          <rPr>
            <sz val="9"/>
            <color indexed="81"/>
            <rFont val="Tahoma"/>
            <family val="2"/>
          </rPr>
          <t xml:space="preserve"> </t>
        </r>
        <r>
          <rPr>
            <sz val="9"/>
            <color indexed="81"/>
            <rFont val="돋움"/>
            <family val="3"/>
            <charset val="129"/>
          </rPr>
          <t>작은</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측정하는</t>
        </r>
        <r>
          <rPr>
            <sz val="9"/>
            <color indexed="81"/>
            <rFont val="Tahoma"/>
            <family val="2"/>
          </rPr>
          <t xml:space="preserve"> </t>
        </r>
        <r>
          <rPr>
            <sz val="9"/>
            <color indexed="81"/>
            <rFont val="돋움"/>
            <family val="3"/>
            <charset val="129"/>
          </rPr>
          <t>일은</t>
        </r>
        <r>
          <rPr>
            <sz val="9"/>
            <color indexed="81"/>
            <rFont val="Tahoma"/>
            <family val="2"/>
          </rPr>
          <t xml:space="preserve"> </t>
        </r>
        <r>
          <rPr>
            <sz val="9"/>
            <color indexed="81"/>
            <rFont val="돋움"/>
            <family val="3"/>
            <charset val="129"/>
          </rPr>
          <t>드문데</t>
        </r>
        <r>
          <rPr>
            <sz val="9"/>
            <color indexed="81"/>
            <rFont val="Tahoma"/>
            <family val="2"/>
          </rPr>
          <t>.</t>
        </r>
      </text>
    </comment>
    <comment ref="DI14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 FP #3 (18.9.3-10.25)</t>
        </r>
      </text>
    </comment>
    <comment ref="AN14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 </t>
        </r>
        <r>
          <rPr>
            <sz val="9"/>
            <color indexed="81"/>
            <rFont val="돋움"/>
            <family val="3"/>
            <charset val="129"/>
          </rPr>
          <t>다만</t>
        </r>
        <r>
          <rPr>
            <sz val="9"/>
            <color indexed="81"/>
            <rFont val="Tahoma"/>
            <family val="2"/>
          </rPr>
          <t xml:space="preserve"> uppermost LN involvement </t>
        </r>
        <r>
          <rPr>
            <sz val="9"/>
            <color indexed="81"/>
            <rFont val="돋움"/>
            <family val="3"/>
            <charset val="129"/>
          </rPr>
          <t>있음</t>
        </r>
        <r>
          <rPr>
            <sz val="9"/>
            <color indexed="81"/>
            <rFont val="Tahoma"/>
            <family val="2"/>
          </rPr>
          <t>.</t>
        </r>
      </text>
    </comment>
    <comment ref="AZ14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 0.7
LN: 0.5</t>
        </r>
      </text>
    </comment>
    <comment ref="BC14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특이한</t>
        </r>
        <r>
          <rPr>
            <sz val="9"/>
            <color indexed="81"/>
            <rFont val="Tahoma"/>
            <family val="2"/>
          </rPr>
          <t xml:space="preserve"> </t>
        </r>
        <r>
          <rPr>
            <sz val="9"/>
            <color indexed="81"/>
            <rFont val="돋움"/>
            <family val="3"/>
            <charset val="129"/>
          </rPr>
          <t>경우이다</t>
        </r>
        <r>
          <rPr>
            <sz val="9"/>
            <color indexed="81"/>
            <rFont val="Tahoma"/>
            <family val="2"/>
          </rPr>
          <t>. Lesion</t>
        </r>
        <r>
          <rPr>
            <sz val="9"/>
            <color indexed="81"/>
            <rFont val="돋움"/>
            <family val="3"/>
            <charset val="129"/>
          </rPr>
          <t>이</t>
        </r>
        <r>
          <rPr>
            <sz val="9"/>
            <color indexed="81"/>
            <rFont val="Tahoma"/>
            <family val="2"/>
          </rPr>
          <t xml:space="preserve"> </t>
        </r>
        <r>
          <rPr>
            <sz val="9"/>
            <color indexed="81"/>
            <rFont val="돋움"/>
            <family val="3"/>
            <charset val="129"/>
          </rPr>
          <t>두</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둘</t>
        </r>
        <r>
          <rPr>
            <sz val="9"/>
            <color indexed="81"/>
            <rFont val="Tahoma"/>
            <family val="2"/>
          </rPr>
          <t xml:space="preserve"> </t>
        </r>
        <r>
          <rPr>
            <sz val="9"/>
            <color indexed="81"/>
            <rFont val="돋움"/>
            <family val="3"/>
            <charset val="129"/>
          </rPr>
          <t>사이에</t>
        </r>
        <r>
          <rPr>
            <sz val="9"/>
            <color indexed="81"/>
            <rFont val="Tahoma"/>
            <family val="2"/>
          </rPr>
          <t xml:space="preserve"> elective field</t>
        </r>
        <r>
          <rPr>
            <sz val="9"/>
            <color indexed="81"/>
            <rFont val="돋움"/>
            <family val="3"/>
            <charset val="129"/>
          </rPr>
          <t>가</t>
        </r>
        <r>
          <rPr>
            <sz val="9"/>
            <color indexed="81"/>
            <rFont val="Tahoma"/>
            <family val="2"/>
          </rPr>
          <t xml:space="preserve"> </t>
        </r>
        <r>
          <rPr>
            <sz val="9"/>
            <color indexed="81"/>
            <rFont val="돋움"/>
            <family val="3"/>
            <charset val="129"/>
          </rPr>
          <t>설정이</t>
        </r>
        <r>
          <rPr>
            <sz val="9"/>
            <color indexed="81"/>
            <rFont val="Tahoma"/>
            <family val="2"/>
          </rPr>
          <t xml:space="preserve"> </t>
        </r>
        <r>
          <rPr>
            <sz val="9"/>
            <color indexed="81"/>
            <rFont val="돋움"/>
            <family val="3"/>
            <charset val="129"/>
          </rPr>
          <t>되어</t>
        </r>
        <r>
          <rPr>
            <sz val="9"/>
            <color indexed="81"/>
            <rFont val="Tahoma"/>
            <family val="2"/>
          </rPr>
          <t xml:space="preserve"> </t>
        </r>
        <r>
          <rPr>
            <sz val="9"/>
            <color indexed="81"/>
            <rFont val="돋움"/>
            <family val="3"/>
            <charset val="129"/>
          </rPr>
          <t>있어서</t>
        </r>
        <r>
          <rPr>
            <sz val="9"/>
            <color indexed="81"/>
            <rFont val="Tahoma"/>
            <family val="2"/>
          </rPr>
          <t>, superior / inferior expansion</t>
        </r>
        <r>
          <rPr>
            <sz val="9"/>
            <color indexed="81"/>
            <rFont val="돋움"/>
            <family val="3"/>
            <charset val="129"/>
          </rPr>
          <t>은</t>
        </r>
        <r>
          <rPr>
            <sz val="9"/>
            <color indexed="81"/>
            <rFont val="Tahoma"/>
            <family val="2"/>
          </rPr>
          <t xml:space="preserve"> 2</t>
        </r>
        <r>
          <rPr>
            <sz val="9"/>
            <color indexed="81"/>
            <rFont val="돋움"/>
            <family val="3"/>
            <charset val="129"/>
          </rPr>
          <t>로</t>
        </r>
        <r>
          <rPr>
            <sz val="9"/>
            <color indexed="81"/>
            <rFont val="Tahoma"/>
            <family val="2"/>
          </rPr>
          <t xml:space="preserve"> </t>
        </r>
        <r>
          <rPr>
            <sz val="9"/>
            <color indexed="81"/>
            <rFont val="돋움"/>
            <family val="3"/>
            <charset val="129"/>
          </rPr>
          <t>되어</t>
        </r>
        <r>
          <rPr>
            <sz val="9"/>
            <color indexed="81"/>
            <rFont val="Tahoma"/>
            <family val="2"/>
          </rPr>
          <t xml:space="preserve"> </t>
        </r>
        <r>
          <rPr>
            <sz val="9"/>
            <color indexed="81"/>
            <rFont val="돋움"/>
            <family val="3"/>
            <charset val="129"/>
          </rPr>
          <t>있으나</t>
        </r>
        <r>
          <rPr>
            <sz val="9"/>
            <color indexed="81"/>
            <rFont val="Tahoma"/>
            <family val="2"/>
          </rPr>
          <t xml:space="preserve"> small margin group</t>
        </r>
        <r>
          <rPr>
            <sz val="9"/>
            <color indexed="81"/>
            <rFont val="돋움"/>
            <family val="3"/>
            <charset val="129"/>
          </rPr>
          <t>으로</t>
        </r>
        <r>
          <rPr>
            <sz val="9"/>
            <color indexed="81"/>
            <rFont val="Tahoma"/>
            <family val="2"/>
          </rPr>
          <t xml:space="preserve"> </t>
        </r>
        <r>
          <rPr>
            <sz val="9"/>
            <color indexed="81"/>
            <rFont val="돋움"/>
            <family val="3"/>
            <charset val="129"/>
          </rPr>
          <t>분류되지</t>
        </r>
        <r>
          <rPr>
            <sz val="9"/>
            <color indexed="81"/>
            <rFont val="Tahoma"/>
            <family val="2"/>
          </rPr>
          <t xml:space="preserve"> </t>
        </r>
        <r>
          <rPr>
            <sz val="9"/>
            <color indexed="81"/>
            <rFont val="돋움"/>
            <family val="3"/>
            <charset val="129"/>
          </rPr>
          <t>않았다</t>
        </r>
        <r>
          <rPr>
            <sz val="9"/>
            <color indexed="81"/>
            <rFont val="Tahoma"/>
            <family val="2"/>
          </rPr>
          <t>.</t>
        </r>
      </text>
    </comment>
    <comment ref="FW14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bronchus</t>
        </r>
        <r>
          <rPr>
            <sz val="9"/>
            <color indexed="81"/>
            <rFont val="돋움"/>
            <family val="3"/>
            <charset val="129"/>
          </rPr>
          <t>랑</t>
        </r>
        <r>
          <rPr>
            <sz val="9"/>
            <color indexed="81"/>
            <rFont val="Tahoma"/>
            <family val="2"/>
          </rPr>
          <t xml:space="preserve"> neo-esophagus</t>
        </r>
        <r>
          <rPr>
            <sz val="9"/>
            <color indexed="81"/>
            <rFont val="돋움"/>
            <family val="3"/>
            <charset val="129"/>
          </rPr>
          <t>랑</t>
        </r>
        <r>
          <rPr>
            <sz val="9"/>
            <color indexed="81"/>
            <rFont val="Tahoma"/>
            <family val="2"/>
          </rPr>
          <t xml:space="preserve"> fistula </t>
        </r>
        <r>
          <rPr>
            <sz val="9"/>
            <color indexed="81"/>
            <rFont val="돋움"/>
            <family val="3"/>
            <charset val="129"/>
          </rPr>
          <t>생겨서</t>
        </r>
        <r>
          <rPr>
            <sz val="9"/>
            <color indexed="81"/>
            <rFont val="Tahoma"/>
            <family val="2"/>
          </rPr>
          <t xml:space="preserve"> </t>
        </r>
        <r>
          <rPr>
            <sz val="9"/>
            <color indexed="81"/>
            <rFont val="돋움"/>
            <family val="3"/>
            <charset val="129"/>
          </rPr>
          <t>내시경으로</t>
        </r>
        <r>
          <rPr>
            <sz val="9"/>
            <color indexed="81"/>
            <rFont val="Tahoma"/>
            <family val="2"/>
          </rPr>
          <t xml:space="preserve"> sponge </t>
        </r>
        <r>
          <rPr>
            <sz val="9"/>
            <color indexed="81"/>
            <rFont val="돋움"/>
            <family val="3"/>
            <charset val="129"/>
          </rPr>
          <t>삽입하고</t>
        </r>
        <r>
          <rPr>
            <sz val="9"/>
            <color indexed="81"/>
            <rFont val="Tahoma"/>
            <family val="2"/>
          </rPr>
          <t xml:space="preserve"> </t>
        </r>
        <r>
          <rPr>
            <sz val="9"/>
            <color indexed="81"/>
            <rFont val="돋움"/>
            <family val="3"/>
            <charset val="129"/>
          </rPr>
          <t>했었네</t>
        </r>
        <r>
          <rPr>
            <sz val="9"/>
            <color indexed="81"/>
            <rFont val="Tahoma"/>
            <family val="2"/>
          </rPr>
          <t>.</t>
        </r>
      </text>
    </comment>
    <comment ref="DI14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 FP #3 (19.3.21-19.6.15)</t>
        </r>
      </text>
    </comment>
    <comment ref="DU14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2020/11/20 subcarinal ~ LA level </t>
        </r>
        <r>
          <rPr>
            <sz val="9"/>
            <color indexed="81"/>
            <rFont val="돋움"/>
            <family val="3"/>
            <charset val="129"/>
          </rPr>
          <t>사이의</t>
        </r>
        <r>
          <rPr>
            <sz val="9"/>
            <color indexed="81"/>
            <rFont val="Tahoma"/>
            <family val="2"/>
          </rPr>
          <t xml:space="preserve"> metastatic LN</t>
        </r>
        <r>
          <rPr>
            <sz val="9"/>
            <color indexed="81"/>
            <rFont val="돋움"/>
            <family val="3"/>
            <charset val="129"/>
          </rPr>
          <t>이</t>
        </r>
        <r>
          <rPr>
            <sz val="9"/>
            <color indexed="81"/>
            <rFont val="Tahoma"/>
            <family val="2"/>
          </rPr>
          <t xml:space="preserve"> </t>
        </r>
        <r>
          <rPr>
            <sz val="9"/>
            <color indexed="81"/>
            <rFont val="돋움"/>
            <family val="3"/>
            <charset val="129"/>
          </rPr>
          <t>커짐</t>
        </r>
        <r>
          <rPr>
            <sz val="9"/>
            <color indexed="81"/>
            <rFont val="Tahoma"/>
            <family val="2"/>
          </rPr>
          <t>.</t>
        </r>
      </text>
    </comment>
    <comment ref="DV14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2019/8/25 PET </t>
        </r>
        <r>
          <rPr>
            <sz val="9"/>
            <color indexed="81"/>
            <rFont val="돋움"/>
            <family val="3"/>
            <charset val="129"/>
          </rPr>
          <t>상에서</t>
        </r>
        <r>
          <rPr>
            <sz val="9"/>
            <color indexed="81"/>
            <rFont val="Tahoma"/>
            <family val="2"/>
          </rPr>
          <t xml:space="preserve"> </t>
        </r>
        <r>
          <rPr>
            <sz val="9"/>
            <color indexed="81"/>
            <rFont val="돋움"/>
            <family val="3"/>
            <charset val="129"/>
          </rPr>
          <t>보이는</t>
        </r>
        <r>
          <rPr>
            <sz val="9"/>
            <color indexed="81"/>
            <rFont val="Tahoma"/>
            <family val="2"/>
          </rPr>
          <t xml:space="preserve"> hypermetabolic lesion</t>
        </r>
        <r>
          <rPr>
            <sz val="9"/>
            <color indexed="81"/>
            <rFont val="돋움"/>
            <family val="3"/>
            <charset val="129"/>
          </rPr>
          <t>은</t>
        </r>
        <r>
          <rPr>
            <sz val="9"/>
            <color indexed="81"/>
            <rFont val="Tahoma"/>
            <family val="2"/>
          </rPr>
          <t xml:space="preserve"> </t>
        </r>
        <r>
          <rPr>
            <sz val="9"/>
            <color indexed="81"/>
            <rFont val="돋움"/>
            <family val="3"/>
            <charset val="129"/>
          </rPr>
          <t>일단</t>
        </r>
        <r>
          <rPr>
            <sz val="9"/>
            <color indexed="81"/>
            <rFont val="Tahoma"/>
            <family val="2"/>
          </rPr>
          <t xml:space="preserve"> 9L lymph node</t>
        </r>
        <r>
          <rPr>
            <sz val="9"/>
            <color indexed="81"/>
            <rFont val="돋움"/>
            <family val="3"/>
            <charset val="129"/>
          </rPr>
          <t>로</t>
        </r>
        <r>
          <rPr>
            <sz val="9"/>
            <color indexed="81"/>
            <rFont val="Tahoma"/>
            <family val="2"/>
          </rPr>
          <t xml:space="preserve"> </t>
        </r>
        <r>
          <rPr>
            <sz val="9"/>
            <color indexed="81"/>
            <rFont val="돋움"/>
            <family val="3"/>
            <charset val="129"/>
          </rPr>
          <t>보았다</t>
        </r>
        <r>
          <rPr>
            <sz val="9"/>
            <color indexed="81"/>
            <rFont val="Tahoma"/>
            <family val="2"/>
          </rPr>
          <t>.</t>
        </r>
      </text>
    </comment>
    <comment ref="FT14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Extensive chemotherapy, nivolumab </t>
        </r>
        <r>
          <rPr>
            <sz val="9"/>
            <color indexed="81"/>
            <rFont val="돋움"/>
            <family val="3"/>
            <charset val="129"/>
          </rPr>
          <t>사용</t>
        </r>
        <r>
          <rPr>
            <sz val="9"/>
            <color indexed="81"/>
            <rFont val="Tahoma"/>
            <family val="2"/>
          </rPr>
          <t xml:space="preserve"> </t>
        </r>
        <r>
          <rPr>
            <sz val="9"/>
            <color indexed="81"/>
            <rFont val="돋움"/>
            <family val="3"/>
            <charset val="129"/>
          </rPr>
          <t>등으로</t>
        </r>
        <r>
          <rPr>
            <sz val="9"/>
            <color indexed="81"/>
            <rFont val="Tahoma"/>
            <family val="2"/>
          </rPr>
          <t xml:space="preserve"> </t>
        </r>
        <r>
          <rPr>
            <sz val="9"/>
            <color indexed="81"/>
            <rFont val="돋움"/>
            <family val="3"/>
            <charset val="129"/>
          </rPr>
          <t>평가가</t>
        </r>
        <r>
          <rPr>
            <sz val="9"/>
            <color indexed="81"/>
            <rFont val="Tahoma"/>
            <family val="2"/>
          </rPr>
          <t xml:space="preserve"> </t>
        </r>
        <r>
          <rPr>
            <sz val="9"/>
            <color indexed="81"/>
            <rFont val="돋움"/>
            <family val="3"/>
            <charset val="129"/>
          </rPr>
          <t>참</t>
        </r>
        <r>
          <rPr>
            <sz val="9"/>
            <color indexed="81"/>
            <rFont val="Tahoma"/>
            <family val="2"/>
          </rPr>
          <t xml:space="preserve"> </t>
        </r>
        <r>
          <rPr>
            <sz val="9"/>
            <color indexed="81"/>
            <rFont val="돋움"/>
            <family val="3"/>
            <charset val="129"/>
          </rPr>
          <t>애매하다</t>
        </r>
        <r>
          <rPr>
            <sz val="9"/>
            <color indexed="81"/>
            <rFont val="Tahoma"/>
            <family val="2"/>
          </rPr>
          <t>.</t>
        </r>
      </text>
    </comment>
    <comment ref="CC149" authorId="1" shapeId="0">
      <text>
        <r>
          <rPr>
            <b/>
            <sz val="9"/>
            <color indexed="81"/>
            <rFont val="Tahoma"/>
            <family val="2"/>
          </rPr>
          <t>SNUH:</t>
        </r>
        <r>
          <rPr>
            <sz val="9"/>
            <color indexed="81"/>
            <rFont val="Tahoma"/>
            <family val="2"/>
          </rPr>
          <t xml:space="preserve">
regional 35.9</t>
        </r>
      </text>
    </comment>
    <comment ref="F15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pre-treatment biopsy core missing</t>
        </r>
      </text>
    </comment>
    <comment ref="DI15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adjuvant Docetaxel #4 (2021/3/3 - 5/18)</t>
        </r>
      </text>
    </comment>
    <comment ref="GA15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biopsy core missing</t>
        </r>
      </text>
    </comment>
    <comment ref="Y15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EUS</t>
        </r>
        <r>
          <rPr>
            <sz val="9"/>
            <color indexed="81"/>
            <rFont val="돋움"/>
            <family val="3"/>
            <charset val="129"/>
          </rPr>
          <t>는</t>
        </r>
        <r>
          <rPr>
            <sz val="9"/>
            <color indexed="81"/>
            <rFont val="Tahoma"/>
            <family val="2"/>
          </rPr>
          <t xml:space="preserve"> </t>
        </r>
        <r>
          <rPr>
            <sz val="9"/>
            <color indexed="81"/>
            <rFont val="돋움"/>
            <family val="3"/>
            <charset val="129"/>
          </rPr>
          <t>못했고</t>
        </r>
        <r>
          <rPr>
            <sz val="9"/>
            <color indexed="81"/>
            <rFont val="Tahoma"/>
            <family val="2"/>
          </rPr>
          <t xml:space="preserve"> </t>
        </r>
        <r>
          <rPr>
            <sz val="9"/>
            <color indexed="81"/>
            <rFont val="돋움"/>
            <family val="3"/>
            <charset val="129"/>
          </rPr>
          <t>영상</t>
        </r>
        <r>
          <rPr>
            <sz val="9"/>
            <color indexed="81"/>
            <rFont val="Tahoma"/>
            <family val="2"/>
          </rPr>
          <t xml:space="preserve"> </t>
        </r>
        <r>
          <rPr>
            <sz val="9"/>
            <color indexed="81"/>
            <rFont val="돋움"/>
            <family val="3"/>
            <charset val="129"/>
          </rPr>
          <t>검사로</t>
        </r>
        <r>
          <rPr>
            <sz val="9"/>
            <color indexed="81"/>
            <rFont val="Tahoma"/>
            <family val="2"/>
          </rPr>
          <t xml:space="preserve"> </t>
        </r>
        <r>
          <rPr>
            <sz val="9"/>
            <color indexed="81"/>
            <rFont val="돋움"/>
            <family val="3"/>
            <charset val="129"/>
          </rPr>
          <t>대충</t>
        </r>
        <r>
          <rPr>
            <sz val="9"/>
            <color indexed="81"/>
            <rFont val="Tahoma"/>
            <family val="2"/>
          </rPr>
          <t>...</t>
        </r>
      </text>
    </comment>
    <comment ref="AO15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SCN</t>
        </r>
        <r>
          <rPr>
            <sz val="9"/>
            <color indexed="81"/>
            <rFont val="돋움"/>
            <family val="3"/>
            <charset val="129"/>
          </rPr>
          <t>에는</t>
        </r>
        <r>
          <rPr>
            <sz val="9"/>
            <color indexed="81"/>
            <rFont val="Tahoma"/>
            <family val="2"/>
          </rPr>
          <t xml:space="preserve"> GTV</t>
        </r>
        <r>
          <rPr>
            <sz val="9"/>
            <color indexed="81"/>
            <rFont val="돋움"/>
            <family val="3"/>
            <charset val="129"/>
          </rPr>
          <t>가</t>
        </r>
        <r>
          <rPr>
            <sz val="9"/>
            <color indexed="81"/>
            <rFont val="Tahoma"/>
            <family val="2"/>
          </rPr>
          <t xml:space="preserve"> </t>
        </r>
        <r>
          <rPr>
            <sz val="9"/>
            <color indexed="81"/>
            <rFont val="돋움"/>
            <family val="3"/>
            <charset val="129"/>
          </rPr>
          <t>있는데</t>
        </r>
        <r>
          <rPr>
            <sz val="9"/>
            <color indexed="81"/>
            <rFont val="Tahoma"/>
            <family val="2"/>
          </rPr>
          <t xml:space="preserve">, staging </t>
        </r>
        <r>
          <rPr>
            <sz val="9"/>
            <color indexed="81"/>
            <rFont val="돋움"/>
            <family val="3"/>
            <charset val="129"/>
          </rPr>
          <t>상에서</t>
        </r>
        <r>
          <rPr>
            <sz val="9"/>
            <color indexed="81"/>
            <rFont val="Tahoma"/>
            <family val="2"/>
          </rPr>
          <t xml:space="preserve"> </t>
        </r>
        <r>
          <rPr>
            <sz val="9"/>
            <color indexed="81"/>
            <rFont val="돋움"/>
            <family val="3"/>
            <charset val="129"/>
          </rPr>
          <t>발견된건지는</t>
        </r>
        <r>
          <rPr>
            <sz val="9"/>
            <color indexed="81"/>
            <rFont val="Tahoma"/>
            <family val="2"/>
          </rPr>
          <t xml:space="preserve"> </t>
        </r>
        <r>
          <rPr>
            <sz val="9"/>
            <color indexed="81"/>
            <rFont val="돋움"/>
            <family val="3"/>
            <charset val="129"/>
          </rPr>
          <t>애매하다</t>
        </r>
        <r>
          <rPr>
            <sz val="9"/>
            <color indexed="81"/>
            <rFont val="Tahoma"/>
            <family val="2"/>
          </rPr>
          <t xml:space="preserve">. PET </t>
        </r>
        <r>
          <rPr>
            <sz val="9"/>
            <color indexed="81"/>
            <rFont val="돋움"/>
            <family val="3"/>
            <charset val="129"/>
          </rPr>
          <t>상에서</t>
        </r>
        <r>
          <rPr>
            <sz val="9"/>
            <color indexed="81"/>
            <rFont val="Tahoma"/>
            <family val="2"/>
          </rPr>
          <t xml:space="preserve"> </t>
        </r>
        <r>
          <rPr>
            <sz val="9"/>
            <color indexed="81"/>
            <rFont val="돋움"/>
            <family val="3"/>
            <charset val="129"/>
          </rPr>
          <t>언급은</t>
        </r>
        <r>
          <rPr>
            <sz val="9"/>
            <color indexed="81"/>
            <rFont val="Tahoma"/>
            <family val="2"/>
          </rPr>
          <t xml:space="preserve"> </t>
        </r>
        <r>
          <rPr>
            <sz val="9"/>
            <color indexed="81"/>
            <rFont val="돋움"/>
            <family val="3"/>
            <charset val="129"/>
          </rPr>
          <t>없고</t>
        </r>
        <r>
          <rPr>
            <sz val="9"/>
            <color indexed="81"/>
            <rFont val="Tahoma"/>
            <family val="2"/>
          </rPr>
          <t>.</t>
        </r>
      </text>
    </comment>
    <comment ref="BB151" authorId="1" shapeId="0">
      <text>
        <r>
          <rPr>
            <b/>
            <sz val="9"/>
            <color rgb="FF000000"/>
            <rFont val="Tahoma"/>
            <family val="2"/>
          </rPr>
          <t>SNUH:</t>
        </r>
        <r>
          <rPr>
            <sz val="9"/>
            <color rgb="FF000000"/>
            <rFont val="Tahoma"/>
            <family val="2"/>
          </rPr>
          <t xml:space="preserve">
</t>
        </r>
        <r>
          <rPr>
            <sz val="9"/>
            <color rgb="FF000000"/>
            <rFont val="Tahoma"/>
            <family val="2"/>
          </rPr>
          <t>CTV_sum</t>
        </r>
        <r>
          <rPr>
            <sz val="9"/>
            <color rgb="FF000000"/>
            <rFont val="돋움"/>
            <family val="2"/>
            <charset val="129"/>
          </rPr>
          <t>을</t>
        </r>
        <r>
          <rPr>
            <sz val="9"/>
            <color rgb="FF000000"/>
            <rFont val="Tahoma"/>
            <family val="2"/>
          </rPr>
          <t xml:space="preserve"> </t>
        </r>
        <r>
          <rPr>
            <sz val="9"/>
            <color rgb="FF000000"/>
            <rFont val="돋움"/>
            <family val="2"/>
            <charset val="129"/>
          </rPr>
          <t>별도로</t>
        </r>
        <r>
          <rPr>
            <sz val="9"/>
            <color rgb="FF000000"/>
            <rFont val="Tahoma"/>
            <family val="2"/>
          </rPr>
          <t xml:space="preserve"> </t>
        </r>
        <r>
          <rPr>
            <sz val="9"/>
            <color rgb="FF000000"/>
            <rFont val="돋움"/>
            <family val="2"/>
            <charset val="129"/>
          </rPr>
          <t>구해야</t>
        </r>
        <r>
          <rPr>
            <sz val="9"/>
            <color rgb="FF000000"/>
            <rFont val="Tahoma"/>
            <family val="2"/>
          </rPr>
          <t xml:space="preserve"> </t>
        </r>
        <r>
          <rPr>
            <sz val="9"/>
            <color rgb="FF000000"/>
            <rFont val="돋움"/>
            <family val="2"/>
            <charset val="129"/>
          </rPr>
          <t>하는</t>
        </r>
        <r>
          <rPr>
            <sz val="9"/>
            <color rgb="FF000000"/>
            <rFont val="Tahoma"/>
            <family val="2"/>
          </rPr>
          <t xml:space="preserve"> </t>
        </r>
        <r>
          <rPr>
            <sz val="9"/>
            <color rgb="FF000000"/>
            <rFont val="돋움"/>
            <family val="2"/>
            <charset val="129"/>
          </rPr>
          <t>경우임</t>
        </r>
      </text>
    </comment>
    <comment ref="CY151" authorId="1" shapeId="0">
      <text>
        <r>
          <rPr>
            <b/>
            <sz val="9"/>
            <color indexed="81"/>
            <rFont val="Tahoma"/>
            <family val="2"/>
          </rPr>
          <t>SNUH:</t>
        </r>
        <r>
          <rPr>
            <sz val="9"/>
            <color indexed="81"/>
            <rFont val="Tahoma"/>
            <family val="2"/>
          </rPr>
          <t xml:space="preserve">
</t>
        </r>
        <r>
          <rPr>
            <sz val="9"/>
            <color indexed="81"/>
            <rFont val="돋움"/>
            <family val="3"/>
            <charset val="129"/>
          </rPr>
          <t>누락된</t>
        </r>
        <r>
          <rPr>
            <sz val="9"/>
            <color indexed="81"/>
            <rFont val="Tahoma"/>
            <family val="2"/>
          </rPr>
          <t xml:space="preserve"> </t>
        </r>
        <r>
          <rPr>
            <sz val="9"/>
            <color indexed="81"/>
            <rFont val="돋움"/>
            <family val="3"/>
            <charset val="129"/>
          </rPr>
          <t>듯</t>
        </r>
        <r>
          <rPr>
            <sz val="9"/>
            <color indexed="81"/>
            <rFont val="Tahoma"/>
            <family val="2"/>
          </rPr>
          <t xml:space="preserve"> </t>
        </r>
        <r>
          <rPr>
            <sz val="9"/>
            <color indexed="81"/>
            <rFont val="돋움"/>
            <family val="3"/>
            <charset val="129"/>
          </rPr>
          <t>하다</t>
        </r>
      </text>
    </comment>
    <comment ref="FU151" authorId="1" shapeId="0">
      <text>
        <r>
          <rPr>
            <b/>
            <sz val="9"/>
            <color indexed="81"/>
            <rFont val="Tahoma"/>
            <family val="2"/>
          </rPr>
          <t>SNUH:</t>
        </r>
        <r>
          <rPr>
            <sz val="9"/>
            <color indexed="81"/>
            <rFont val="Tahoma"/>
            <family val="2"/>
          </rPr>
          <t xml:space="preserve">
2020/10/26 </t>
        </r>
        <r>
          <rPr>
            <sz val="9"/>
            <color indexed="81"/>
            <rFont val="돋움"/>
            <family val="3"/>
            <charset val="129"/>
          </rPr>
          <t>내시경적으로</t>
        </r>
        <r>
          <rPr>
            <sz val="9"/>
            <color indexed="81"/>
            <rFont val="Tahoma"/>
            <family val="2"/>
          </rPr>
          <t xml:space="preserve"> </t>
        </r>
        <r>
          <rPr>
            <sz val="9"/>
            <color indexed="81"/>
            <rFont val="돋움"/>
            <family val="3"/>
            <charset val="129"/>
          </rPr>
          <t>확인되는</t>
        </r>
        <r>
          <rPr>
            <sz val="9"/>
            <color indexed="81"/>
            <rFont val="Tahoma"/>
            <family val="2"/>
          </rPr>
          <t xml:space="preserve"> tight stricture, scope passing </t>
        </r>
        <r>
          <rPr>
            <sz val="9"/>
            <color indexed="81"/>
            <rFont val="돋움"/>
            <family val="3"/>
            <charset val="129"/>
          </rPr>
          <t>불가</t>
        </r>
        <r>
          <rPr>
            <sz val="9"/>
            <color indexed="81"/>
            <rFont val="Tahoma"/>
            <family val="2"/>
          </rPr>
          <t xml:space="preserve">. </t>
        </r>
        <r>
          <rPr>
            <sz val="9"/>
            <color indexed="81"/>
            <rFont val="돋움"/>
            <family val="3"/>
            <charset val="129"/>
          </rPr>
          <t>다만</t>
        </r>
        <r>
          <rPr>
            <sz val="9"/>
            <color indexed="81"/>
            <rFont val="Tahoma"/>
            <family val="2"/>
          </rPr>
          <t xml:space="preserve"> Ballooning </t>
        </r>
        <r>
          <rPr>
            <sz val="9"/>
            <color indexed="81"/>
            <rFont val="돋움"/>
            <family val="3"/>
            <charset val="129"/>
          </rPr>
          <t>안함</t>
        </r>
        <r>
          <rPr>
            <sz val="9"/>
            <color indexed="81"/>
            <rFont val="Tahoma"/>
            <family val="2"/>
          </rPr>
          <t>.</t>
        </r>
      </text>
    </comment>
    <comment ref="BB152" authorId="1" shapeId="0">
      <text>
        <r>
          <rPr>
            <b/>
            <sz val="9"/>
            <color rgb="FF000000"/>
            <rFont val="Tahoma"/>
            <family val="2"/>
          </rPr>
          <t>SNUH:</t>
        </r>
        <r>
          <rPr>
            <sz val="9"/>
            <color rgb="FF000000"/>
            <rFont val="Tahoma"/>
            <family val="2"/>
          </rPr>
          <t xml:space="preserve">
</t>
        </r>
        <r>
          <rPr>
            <sz val="9"/>
            <color rgb="FF000000"/>
            <rFont val="Tahoma"/>
            <family val="2"/>
          </rPr>
          <t>CTV_sum</t>
        </r>
        <r>
          <rPr>
            <sz val="9"/>
            <color rgb="FF000000"/>
            <rFont val="돋움"/>
            <family val="2"/>
            <charset val="129"/>
          </rPr>
          <t>을</t>
        </r>
        <r>
          <rPr>
            <sz val="9"/>
            <color rgb="FF000000"/>
            <rFont val="Tahoma"/>
            <family val="2"/>
          </rPr>
          <t xml:space="preserve"> </t>
        </r>
        <r>
          <rPr>
            <sz val="9"/>
            <color rgb="FF000000"/>
            <rFont val="돋움"/>
            <family val="2"/>
            <charset val="129"/>
          </rPr>
          <t>별도로</t>
        </r>
        <r>
          <rPr>
            <sz val="9"/>
            <color rgb="FF000000"/>
            <rFont val="Tahoma"/>
            <family val="2"/>
          </rPr>
          <t xml:space="preserve"> </t>
        </r>
        <r>
          <rPr>
            <sz val="9"/>
            <color rgb="FF000000"/>
            <rFont val="돋움"/>
            <family val="2"/>
            <charset val="129"/>
          </rPr>
          <t>구해야</t>
        </r>
        <r>
          <rPr>
            <sz val="9"/>
            <color rgb="FF000000"/>
            <rFont val="Tahoma"/>
            <family val="2"/>
          </rPr>
          <t xml:space="preserve"> </t>
        </r>
        <r>
          <rPr>
            <sz val="9"/>
            <color rgb="FF000000"/>
            <rFont val="돋움"/>
            <family val="2"/>
            <charset val="129"/>
          </rPr>
          <t>하는</t>
        </r>
        <r>
          <rPr>
            <sz val="9"/>
            <color rgb="FF000000"/>
            <rFont val="Tahoma"/>
            <family val="2"/>
          </rPr>
          <t xml:space="preserve"> </t>
        </r>
        <r>
          <rPr>
            <sz val="9"/>
            <color rgb="FF000000"/>
            <rFont val="돋움"/>
            <family val="2"/>
            <charset val="129"/>
          </rPr>
          <t>경우임</t>
        </r>
      </text>
    </comment>
    <comment ref="FU152" authorId="1" shapeId="0">
      <text>
        <r>
          <rPr>
            <b/>
            <sz val="9"/>
            <color indexed="81"/>
            <rFont val="Tahoma"/>
            <family val="2"/>
          </rPr>
          <t>SNUH:</t>
        </r>
        <r>
          <rPr>
            <sz val="9"/>
            <color indexed="81"/>
            <rFont val="Tahoma"/>
            <family val="2"/>
          </rPr>
          <t xml:space="preserve">
EGD </t>
        </r>
        <r>
          <rPr>
            <sz val="9"/>
            <color indexed="81"/>
            <rFont val="돋움"/>
            <family val="3"/>
            <charset val="129"/>
          </rPr>
          <t>상</t>
        </r>
        <r>
          <rPr>
            <sz val="9"/>
            <color indexed="81"/>
            <rFont val="Tahoma"/>
            <family val="2"/>
          </rPr>
          <t xml:space="preserve"> anastomosis narrowing </t>
        </r>
        <r>
          <rPr>
            <sz val="9"/>
            <color indexed="81"/>
            <rFont val="돋움"/>
            <family val="3"/>
            <charset val="129"/>
          </rPr>
          <t>있어서</t>
        </r>
        <r>
          <rPr>
            <sz val="9"/>
            <color indexed="81"/>
            <rFont val="Tahoma"/>
            <family val="2"/>
          </rPr>
          <t xml:space="preserve"> </t>
        </r>
        <r>
          <rPr>
            <sz val="9"/>
            <color indexed="81"/>
            <rFont val="돋움"/>
            <family val="3"/>
            <charset val="129"/>
          </rPr>
          <t>겨우</t>
        </r>
        <r>
          <rPr>
            <sz val="9"/>
            <color indexed="81"/>
            <rFont val="Tahoma"/>
            <family val="2"/>
          </rPr>
          <t xml:space="preserve"> scope passing </t>
        </r>
        <r>
          <rPr>
            <sz val="9"/>
            <color indexed="81"/>
            <rFont val="돋움"/>
            <family val="3"/>
            <charset val="129"/>
          </rPr>
          <t>가능함</t>
        </r>
        <r>
          <rPr>
            <sz val="9"/>
            <color indexed="81"/>
            <rFont val="Tahoma"/>
            <family val="2"/>
          </rPr>
          <t xml:space="preserve"> (2021/1/21)
</t>
        </r>
        <r>
          <rPr>
            <sz val="9"/>
            <color indexed="81"/>
            <rFont val="돋움"/>
            <family val="3"/>
            <charset val="129"/>
          </rPr>
          <t>다만</t>
        </r>
        <r>
          <rPr>
            <sz val="9"/>
            <color indexed="81"/>
            <rFont val="Tahoma"/>
            <family val="2"/>
          </rPr>
          <t xml:space="preserve"> ballooning </t>
        </r>
        <r>
          <rPr>
            <sz val="9"/>
            <color indexed="81"/>
            <rFont val="돋움"/>
            <family val="3"/>
            <charset val="129"/>
          </rPr>
          <t>등</t>
        </r>
        <r>
          <rPr>
            <sz val="9"/>
            <color indexed="81"/>
            <rFont val="Tahoma"/>
            <family val="2"/>
          </rPr>
          <t xml:space="preserve"> intervention</t>
        </r>
        <r>
          <rPr>
            <sz val="9"/>
            <color indexed="81"/>
            <rFont val="돋움"/>
            <family val="3"/>
            <charset val="129"/>
          </rPr>
          <t>은</t>
        </r>
        <r>
          <rPr>
            <sz val="9"/>
            <color indexed="81"/>
            <rFont val="Tahoma"/>
            <family val="2"/>
          </rPr>
          <t xml:space="preserve"> </t>
        </r>
        <r>
          <rPr>
            <sz val="9"/>
            <color indexed="81"/>
            <rFont val="돋움"/>
            <family val="3"/>
            <charset val="129"/>
          </rPr>
          <t>없음</t>
        </r>
      </text>
    </comment>
    <comment ref="BB153" authorId="1" shapeId="0">
      <text>
        <r>
          <rPr>
            <b/>
            <sz val="9"/>
            <color indexed="81"/>
            <rFont val="Tahoma"/>
            <family val="2"/>
          </rPr>
          <t>SNUH:</t>
        </r>
        <r>
          <rPr>
            <sz val="9"/>
            <color indexed="81"/>
            <rFont val="Tahoma"/>
            <family val="2"/>
          </rPr>
          <t xml:space="preserve">
CTV_sum</t>
        </r>
        <r>
          <rPr>
            <sz val="9"/>
            <color indexed="81"/>
            <rFont val="돋움"/>
            <family val="3"/>
            <charset val="129"/>
          </rPr>
          <t>을</t>
        </r>
        <r>
          <rPr>
            <sz val="9"/>
            <color indexed="81"/>
            <rFont val="Tahoma"/>
            <family val="2"/>
          </rPr>
          <t xml:space="preserve"> </t>
        </r>
        <r>
          <rPr>
            <sz val="9"/>
            <color indexed="81"/>
            <rFont val="돋움"/>
            <family val="3"/>
            <charset val="129"/>
          </rPr>
          <t>별도로</t>
        </r>
        <r>
          <rPr>
            <sz val="9"/>
            <color indexed="81"/>
            <rFont val="Tahoma"/>
            <family val="2"/>
          </rPr>
          <t xml:space="preserve"> </t>
        </r>
        <r>
          <rPr>
            <sz val="9"/>
            <color indexed="81"/>
            <rFont val="돋움"/>
            <family val="3"/>
            <charset val="129"/>
          </rPr>
          <t>구해야</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경우임</t>
        </r>
      </text>
    </comment>
    <comment ref="AH154" authorId="1" shapeId="0">
      <text>
        <r>
          <rPr>
            <b/>
            <sz val="9"/>
            <color indexed="81"/>
            <rFont val="Tahoma"/>
            <family val="2"/>
          </rPr>
          <t>SNUH:</t>
        </r>
        <r>
          <rPr>
            <sz val="9"/>
            <color indexed="81"/>
            <rFont val="Tahoma"/>
            <family val="2"/>
          </rPr>
          <t xml:space="preserve">
level II</t>
        </r>
        <r>
          <rPr>
            <sz val="9"/>
            <color indexed="81"/>
            <rFont val="돋움"/>
            <family val="3"/>
            <charset val="129"/>
          </rPr>
          <t>에도</t>
        </r>
        <r>
          <rPr>
            <sz val="9"/>
            <color indexed="81"/>
            <rFont val="Tahoma"/>
            <family val="2"/>
          </rPr>
          <t xml:space="preserve"> </t>
        </r>
        <r>
          <rPr>
            <sz val="9"/>
            <color indexed="81"/>
            <rFont val="돋움"/>
            <family val="3"/>
            <charset val="129"/>
          </rPr>
          <t>있었어서</t>
        </r>
        <r>
          <rPr>
            <sz val="9"/>
            <color indexed="81"/>
            <rFont val="Tahoma"/>
            <family val="2"/>
          </rPr>
          <t>.</t>
        </r>
      </text>
    </comment>
    <comment ref="AO15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right </t>
        </r>
        <r>
          <rPr>
            <sz val="9"/>
            <color indexed="81"/>
            <rFont val="돋움"/>
            <family val="3"/>
            <charset val="129"/>
          </rPr>
          <t>한정</t>
        </r>
        <r>
          <rPr>
            <sz val="9"/>
            <color indexed="81"/>
            <rFont val="Tahoma"/>
            <family val="2"/>
          </rPr>
          <t>. Left</t>
        </r>
        <r>
          <rPr>
            <sz val="9"/>
            <color indexed="81"/>
            <rFont val="돋움"/>
            <family val="3"/>
            <charset val="129"/>
          </rPr>
          <t>는</t>
        </r>
        <r>
          <rPr>
            <sz val="9"/>
            <color indexed="81"/>
            <rFont val="Tahoma"/>
            <family val="2"/>
          </rPr>
          <t xml:space="preserve"> neck meta </t>
        </r>
        <r>
          <rPr>
            <sz val="9"/>
            <color indexed="81"/>
            <rFont val="돋움"/>
            <family val="3"/>
            <charset val="129"/>
          </rPr>
          <t>있음</t>
        </r>
        <r>
          <rPr>
            <sz val="9"/>
            <color indexed="81"/>
            <rFont val="Tahoma"/>
            <family val="2"/>
          </rPr>
          <t>.</t>
        </r>
      </text>
    </comment>
    <comment ref="BB154" authorId="1" shapeId="0">
      <text>
        <r>
          <rPr>
            <b/>
            <sz val="9"/>
            <color indexed="81"/>
            <rFont val="Tahoma"/>
            <family val="2"/>
          </rPr>
          <t>SNUH:</t>
        </r>
        <r>
          <rPr>
            <sz val="9"/>
            <color indexed="81"/>
            <rFont val="Tahoma"/>
            <family val="2"/>
          </rPr>
          <t xml:space="preserve">
CTV_sum</t>
        </r>
        <r>
          <rPr>
            <sz val="9"/>
            <color indexed="81"/>
            <rFont val="돋움"/>
            <family val="3"/>
            <charset val="129"/>
          </rPr>
          <t>을</t>
        </r>
        <r>
          <rPr>
            <sz val="9"/>
            <color indexed="81"/>
            <rFont val="Tahoma"/>
            <family val="2"/>
          </rPr>
          <t xml:space="preserve"> </t>
        </r>
        <r>
          <rPr>
            <sz val="9"/>
            <color indexed="81"/>
            <rFont val="돋움"/>
            <family val="3"/>
            <charset val="129"/>
          </rPr>
          <t>별도로</t>
        </r>
        <r>
          <rPr>
            <sz val="9"/>
            <color indexed="81"/>
            <rFont val="Tahoma"/>
            <family val="2"/>
          </rPr>
          <t xml:space="preserve"> </t>
        </r>
        <r>
          <rPr>
            <sz val="9"/>
            <color indexed="81"/>
            <rFont val="돋움"/>
            <family val="3"/>
            <charset val="129"/>
          </rPr>
          <t>구해야</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경우임</t>
        </r>
      </text>
    </comment>
    <comment ref="CW154" authorId="1" shapeId="0">
      <text>
        <r>
          <rPr>
            <b/>
            <sz val="9"/>
            <color indexed="81"/>
            <rFont val="Tahoma"/>
            <family val="2"/>
          </rPr>
          <t>SNUH:</t>
        </r>
        <r>
          <rPr>
            <sz val="9"/>
            <color indexed="81"/>
            <rFont val="Tahoma"/>
            <family val="2"/>
          </rPr>
          <t xml:space="preserve">
orientation</t>
        </r>
        <r>
          <rPr>
            <sz val="9"/>
            <color indexed="81"/>
            <rFont val="돋움"/>
            <family val="3"/>
            <charset val="129"/>
          </rPr>
          <t>이</t>
        </r>
        <r>
          <rPr>
            <sz val="9"/>
            <color indexed="81"/>
            <rFont val="Tahoma"/>
            <family val="2"/>
          </rPr>
          <t xml:space="preserve"> </t>
        </r>
        <r>
          <rPr>
            <sz val="9"/>
            <color indexed="81"/>
            <rFont val="돋움"/>
            <family val="3"/>
            <charset val="129"/>
          </rPr>
          <t>다소</t>
        </r>
        <r>
          <rPr>
            <sz val="9"/>
            <color indexed="81"/>
            <rFont val="Tahoma"/>
            <family val="2"/>
          </rPr>
          <t xml:space="preserve"> </t>
        </r>
        <r>
          <rPr>
            <sz val="9"/>
            <color indexed="81"/>
            <rFont val="돋움"/>
            <family val="3"/>
            <charset val="129"/>
          </rPr>
          <t>명확하지</t>
        </r>
        <r>
          <rPr>
            <sz val="9"/>
            <color indexed="81"/>
            <rFont val="Tahoma"/>
            <family val="2"/>
          </rPr>
          <t xml:space="preserve"> </t>
        </r>
        <r>
          <rPr>
            <sz val="9"/>
            <color indexed="81"/>
            <rFont val="돋움"/>
            <family val="3"/>
            <charset val="129"/>
          </rPr>
          <t>않다</t>
        </r>
        <r>
          <rPr>
            <sz val="9"/>
            <color indexed="81"/>
            <rFont val="Tahoma"/>
            <family val="2"/>
          </rPr>
          <t xml:space="preserve">. 'one margin', 'the other margin' </t>
        </r>
        <r>
          <rPr>
            <sz val="9"/>
            <color indexed="81"/>
            <rFont val="돋움"/>
            <family val="3"/>
            <charset val="129"/>
          </rPr>
          <t>같은</t>
        </r>
        <r>
          <rPr>
            <sz val="9"/>
            <color indexed="81"/>
            <rFont val="Tahoma"/>
            <family val="2"/>
          </rPr>
          <t xml:space="preserve"> </t>
        </r>
        <r>
          <rPr>
            <sz val="9"/>
            <color indexed="81"/>
            <rFont val="돋움"/>
            <family val="3"/>
            <charset val="129"/>
          </rPr>
          <t>식으로</t>
        </r>
        <r>
          <rPr>
            <sz val="9"/>
            <color indexed="81"/>
            <rFont val="Tahoma"/>
            <family val="2"/>
          </rPr>
          <t xml:space="preserve"> </t>
        </r>
        <r>
          <rPr>
            <sz val="9"/>
            <color indexed="81"/>
            <rFont val="돋움"/>
            <family val="3"/>
            <charset val="129"/>
          </rPr>
          <t>되어있다</t>
        </r>
        <r>
          <rPr>
            <sz val="9"/>
            <color indexed="81"/>
            <rFont val="Tahoma"/>
            <family val="2"/>
          </rPr>
          <t>.</t>
        </r>
      </text>
    </comment>
    <comment ref="CZ154" authorId="1" shapeId="0">
      <text>
        <r>
          <rPr>
            <b/>
            <sz val="9"/>
            <color indexed="81"/>
            <rFont val="Tahoma"/>
            <family val="2"/>
          </rPr>
          <t>SNUH:</t>
        </r>
        <r>
          <rPr>
            <sz val="9"/>
            <color indexed="81"/>
            <rFont val="Tahoma"/>
            <family val="2"/>
          </rPr>
          <t xml:space="preserve">
neck dissection</t>
        </r>
        <r>
          <rPr>
            <sz val="9"/>
            <color indexed="81"/>
            <rFont val="돋움"/>
            <family val="3"/>
            <charset val="129"/>
          </rPr>
          <t>에서</t>
        </r>
        <r>
          <rPr>
            <sz val="9"/>
            <color indexed="81"/>
            <rFont val="Tahoma"/>
            <family val="2"/>
          </rPr>
          <t xml:space="preserve"> 3</t>
        </r>
        <r>
          <rPr>
            <sz val="9"/>
            <color indexed="81"/>
            <rFont val="돋움"/>
            <family val="3"/>
            <charset val="129"/>
          </rPr>
          <t>개</t>
        </r>
      </text>
    </comment>
    <comment ref="DA154" authorId="1" shapeId="0">
      <text>
        <r>
          <rPr>
            <b/>
            <sz val="9"/>
            <color indexed="81"/>
            <rFont val="Tahoma"/>
            <family val="2"/>
          </rPr>
          <t>SNUH:</t>
        </r>
        <r>
          <rPr>
            <sz val="9"/>
            <color indexed="81"/>
            <rFont val="Tahoma"/>
            <family val="2"/>
          </rPr>
          <t xml:space="preserve">
neck dissection</t>
        </r>
        <r>
          <rPr>
            <sz val="9"/>
            <color indexed="81"/>
            <rFont val="돋움"/>
            <family val="3"/>
            <charset val="129"/>
          </rPr>
          <t>에서</t>
        </r>
        <r>
          <rPr>
            <sz val="9"/>
            <color indexed="81"/>
            <rFont val="Tahoma"/>
            <family val="2"/>
          </rPr>
          <t xml:space="preserve"> 56</t>
        </r>
        <r>
          <rPr>
            <sz val="9"/>
            <color indexed="81"/>
            <rFont val="돋움"/>
            <family val="3"/>
            <charset val="129"/>
          </rPr>
          <t>개</t>
        </r>
      </text>
    </comment>
    <comment ref="DI154" authorId="1" shapeId="0">
      <text>
        <r>
          <rPr>
            <b/>
            <sz val="9"/>
            <color indexed="81"/>
            <rFont val="Tahoma"/>
            <family val="2"/>
          </rPr>
          <t>SNUH:</t>
        </r>
        <r>
          <rPr>
            <sz val="9"/>
            <color indexed="81"/>
            <rFont val="Tahoma"/>
            <family val="2"/>
          </rPr>
          <t xml:space="preserve">
adj FP #4 (20.5.4~ 20.7.18)</t>
        </r>
      </text>
    </comment>
    <comment ref="DN154" authorId="1" shapeId="0">
      <text>
        <r>
          <rPr>
            <b/>
            <sz val="9"/>
            <color indexed="81"/>
            <rFont val="Tahoma"/>
            <family val="2"/>
          </rPr>
          <t>SNUH:</t>
        </r>
        <r>
          <rPr>
            <sz val="9"/>
            <color indexed="81"/>
            <rFont val="Tahoma"/>
            <family val="2"/>
          </rPr>
          <t xml:space="preserve">
subcarina</t>
        </r>
        <r>
          <rPr>
            <sz val="9"/>
            <color indexed="81"/>
            <rFont val="돋움"/>
            <family val="3"/>
            <charset val="129"/>
          </rPr>
          <t>쪽이</t>
        </r>
        <r>
          <rPr>
            <sz val="9"/>
            <color indexed="81"/>
            <rFont val="Tahoma"/>
            <family val="2"/>
          </rPr>
          <t xml:space="preserve"> regional</t>
        </r>
        <r>
          <rPr>
            <sz val="9"/>
            <color indexed="81"/>
            <rFont val="돋움"/>
            <family val="3"/>
            <charset val="129"/>
          </rPr>
          <t>인지</t>
        </r>
        <r>
          <rPr>
            <sz val="9"/>
            <color indexed="81"/>
            <rFont val="Tahoma"/>
            <family val="2"/>
          </rPr>
          <t xml:space="preserve"> local</t>
        </r>
        <r>
          <rPr>
            <sz val="9"/>
            <color indexed="81"/>
            <rFont val="돋움"/>
            <family val="3"/>
            <charset val="129"/>
          </rPr>
          <t>인지</t>
        </r>
        <r>
          <rPr>
            <sz val="9"/>
            <color indexed="81"/>
            <rFont val="Tahoma"/>
            <family val="2"/>
          </rPr>
          <t xml:space="preserve"> </t>
        </r>
        <r>
          <rPr>
            <sz val="9"/>
            <color indexed="81"/>
            <rFont val="돋움"/>
            <family val="3"/>
            <charset val="129"/>
          </rPr>
          <t>좀</t>
        </r>
        <r>
          <rPr>
            <sz val="9"/>
            <color indexed="81"/>
            <rFont val="Tahoma"/>
            <family val="2"/>
          </rPr>
          <t xml:space="preserve"> </t>
        </r>
        <r>
          <rPr>
            <sz val="9"/>
            <color indexed="81"/>
            <rFont val="돋움"/>
            <family val="3"/>
            <charset val="129"/>
          </rPr>
          <t>애매하긴</t>
        </r>
        <r>
          <rPr>
            <sz val="9"/>
            <color indexed="81"/>
            <rFont val="Tahoma"/>
            <family val="2"/>
          </rPr>
          <t xml:space="preserve"> </t>
        </r>
        <r>
          <rPr>
            <sz val="9"/>
            <color indexed="81"/>
            <rFont val="돋움"/>
            <family val="3"/>
            <charset val="129"/>
          </rPr>
          <t>하다</t>
        </r>
        <r>
          <rPr>
            <sz val="9"/>
            <color indexed="81"/>
            <rFont val="Tahoma"/>
            <family val="2"/>
          </rPr>
          <t>.</t>
        </r>
      </text>
    </comment>
    <comment ref="AO15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left </t>
        </r>
        <r>
          <rPr>
            <sz val="9"/>
            <color indexed="81"/>
            <rFont val="돋움"/>
            <family val="3"/>
            <charset val="129"/>
          </rPr>
          <t>한정</t>
        </r>
        <r>
          <rPr>
            <sz val="9"/>
            <color indexed="81"/>
            <rFont val="Tahoma"/>
            <family val="2"/>
          </rPr>
          <t>, right</t>
        </r>
        <r>
          <rPr>
            <sz val="9"/>
            <color indexed="81"/>
            <rFont val="돋움"/>
            <family val="3"/>
            <charset val="129"/>
          </rPr>
          <t>는</t>
        </r>
        <r>
          <rPr>
            <sz val="9"/>
            <color indexed="81"/>
            <rFont val="Tahoma"/>
            <family val="2"/>
          </rPr>
          <t xml:space="preserve"> GTV </t>
        </r>
        <r>
          <rPr>
            <sz val="9"/>
            <color indexed="81"/>
            <rFont val="돋움"/>
            <family val="3"/>
            <charset val="129"/>
          </rPr>
          <t>있음</t>
        </r>
        <r>
          <rPr>
            <sz val="9"/>
            <color indexed="81"/>
            <rFont val="Tahoma"/>
            <family val="2"/>
          </rPr>
          <t>.</t>
        </r>
      </text>
    </comment>
    <comment ref="BB155" authorId="1" shapeId="0">
      <text>
        <r>
          <rPr>
            <b/>
            <sz val="9"/>
            <color indexed="81"/>
            <rFont val="Tahoma"/>
            <family val="2"/>
          </rPr>
          <t>SNUH:</t>
        </r>
        <r>
          <rPr>
            <sz val="9"/>
            <color indexed="81"/>
            <rFont val="Tahoma"/>
            <family val="2"/>
          </rPr>
          <t xml:space="preserve">
CTV_sum</t>
        </r>
        <r>
          <rPr>
            <sz val="9"/>
            <color indexed="81"/>
            <rFont val="돋움"/>
            <family val="3"/>
            <charset val="129"/>
          </rPr>
          <t>을</t>
        </r>
        <r>
          <rPr>
            <sz val="9"/>
            <color indexed="81"/>
            <rFont val="Tahoma"/>
            <family val="2"/>
          </rPr>
          <t xml:space="preserve"> </t>
        </r>
        <r>
          <rPr>
            <sz val="9"/>
            <color indexed="81"/>
            <rFont val="돋움"/>
            <family val="3"/>
            <charset val="129"/>
          </rPr>
          <t>별도로</t>
        </r>
        <r>
          <rPr>
            <sz val="9"/>
            <color indexed="81"/>
            <rFont val="Tahoma"/>
            <family val="2"/>
          </rPr>
          <t xml:space="preserve"> </t>
        </r>
        <r>
          <rPr>
            <sz val="9"/>
            <color indexed="81"/>
            <rFont val="돋움"/>
            <family val="3"/>
            <charset val="129"/>
          </rPr>
          <t>구해야</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경우임</t>
        </r>
      </text>
    </comment>
    <comment ref="DI155" authorId="1" shapeId="0">
      <text>
        <r>
          <rPr>
            <b/>
            <sz val="9"/>
            <color indexed="81"/>
            <rFont val="Tahoma"/>
            <family val="2"/>
          </rPr>
          <t>SNUH:</t>
        </r>
        <r>
          <rPr>
            <sz val="9"/>
            <color indexed="81"/>
            <rFont val="Tahoma"/>
            <family val="2"/>
          </rPr>
          <t xml:space="preserve">
adj FP #4 (~20.7.13)</t>
        </r>
      </text>
    </comment>
    <comment ref="DI15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 FP #5</t>
        </r>
      </text>
    </comment>
    <comment ref="DF15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low grade dysplasia</t>
        </r>
      </text>
    </comment>
    <comment ref="AH16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neck meta</t>
        </r>
        <r>
          <rPr>
            <sz val="9"/>
            <color indexed="81"/>
            <rFont val="돋움"/>
            <family val="3"/>
            <charset val="129"/>
          </rPr>
          <t>까지</t>
        </r>
        <r>
          <rPr>
            <sz val="9"/>
            <color indexed="81"/>
            <rFont val="Tahoma"/>
            <family val="2"/>
          </rPr>
          <t xml:space="preserve"> </t>
        </r>
        <r>
          <rPr>
            <sz val="9"/>
            <color indexed="81"/>
            <rFont val="돋움"/>
            <family val="3"/>
            <charset val="129"/>
          </rPr>
          <t>있다</t>
        </r>
      </text>
    </comment>
    <comment ref="CZ16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extracapsular extension </t>
        </r>
        <r>
          <rPr>
            <sz val="9"/>
            <color indexed="81"/>
            <rFont val="돋움"/>
            <family val="3"/>
            <charset val="129"/>
          </rPr>
          <t>보고됨</t>
        </r>
        <r>
          <rPr>
            <sz val="9"/>
            <color indexed="81"/>
            <rFont val="Tahoma"/>
            <family val="2"/>
          </rPr>
          <t xml:space="preserve"> (LN#106)</t>
        </r>
      </text>
    </comment>
    <comment ref="CZ16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extracapsular extension(+)</t>
        </r>
      </text>
    </comment>
    <comment ref="P16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biopsy </t>
        </r>
        <r>
          <rPr>
            <sz val="9"/>
            <color indexed="81"/>
            <rFont val="돋움"/>
            <family val="3"/>
            <charset val="129"/>
          </rPr>
          <t>결과는</t>
        </r>
        <r>
          <rPr>
            <sz val="9"/>
            <color indexed="81"/>
            <rFont val="Tahoma"/>
            <family val="2"/>
          </rPr>
          <t xml:space="preserve"> POORLY DIFFERENTIATED CARCINOMA, favor SQUAMOUS CELL CARCINOMA </t>
        </r>
        <r>
          <rPr>
            <sz val="9"/>
            <color indexed="81"/>
            <rFont val="돋움"/>
            <family val="3"/>
            <charset val="129"/>
          </rPr>
          <t>였다</t>
        </r>
        <r>
          <rPr>
            <sz val="9"/>
            <color indexed="81"/>
            <rFont val="Tahoma"/>
            <family val="2"/>
          </rPr>
          <t>. PD</t>
        </r>
        <r>
          <rPr>
            <sz val="9"/>
            <color indexed="81"/>
            <rFont val="돋움"/>
            <family val="3"/>
            <charset val="129"/>
          </rPr>
          <t>로</t>
        </r>
        <r>
          <rPr>
            <sz val="9"/>
            <color indexed="81"/>
            <rFont val="Tahoma"/>
            <family val="2"/>
          </rPr>
          <t xml:space="preserve"> </t>
        </r>
        <r>
          <rPr>
            <sz val="9"/>
            <color indexed="81"/>
            <rFont val="돋움"/>
            <family val="3"/>
            <charset val="129"/>
          </rPr>
          <t>보면</t>
        </r>
        <r>
          <rPr>
            <sz val="9"/>
            <color indexed="81"/>
            <rFont val="Tahoma"/>
            <family val="2"/>
          </rPr>
          <t xml:space="preserve"> </t>
        </r>
        <r>
          <rPr>
            <sz val="9"/>
            <color indexed="81"/>
            <rFont val="돋움"/>
            <family val="3"/>
            <charset val="129"/>
          </rPr>
          <t>되나</t>
        </r>
        <r>
          <rPr>
            <sz val="9"/>
            <color indexed="81"/>
            <rFont val="Tahoma"/>
            <family val="2"/>
          </rPr>
          <t>?</t>
        </r>
      </text>
    </comment>
    <comment ref="CZ16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ECE+</t>
        </r>
      </text>
    </comment>
    <comment ref="DI16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adjuvant FP</t>
        </r>
      </text>
    </comment>
    <comment ref="AS16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일단은</t>
        </r>
        <r>
          <rPr>
            <sz val="9"/>
            <color indexed="81"/>
            <rFont val="Tahoma"/>
            <family val="2"/>
          </rPr>
          <t xml:space="preserve"> </t>
        </r>
        <r>
          <rPr>
            <sz val="9"/>
            <color indexed="81"/>
            <rFont val="돋움"/>
            <family val="3"/>
            <charset val="129"/>
          </rPr>
          <t>아닌걸로</t>
        </r>
        <r>
          <rPr>
            <sz val="9"/>
            <color indexed="81"/>
            <rFont val="Tahoma"/>
            <family val="2"/>
          </rPr>
          <t xml:space="preserve"> </t>
        </r>
        <r>
          <rPr>
            <sz val="9"/>
            <color indexed="81"/>
            <rFont val="돋움"/>
            <family val="3"/>
            <charset val="129"/>
          </rPr>
          <t>간주함</t>
        </r>
      </text>
    </comment>
    <comment ref="BE16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CTV=PTV</t>
        </r>
        <r>
          <rPr>
            <sz val="9"/>
            <color indexed="81"/>
            <rFont val="돋움"/>
            <family val="3"/>
            <charset val="129"/>
          </rPr>
          <t>로</t>
        </r>
        <r>
          <rPr>
            <sz val="9"/>
            <color indexed="81"/>
            <rFont val="Tahoma"/>
            <family val="2"/>
          </rPr>
          <t xml:space="preserve"> </t>
        </r>
        <r>
          <rPr>
            <sz val="9"/>
            <color indexed="81"/>
            <rFont val="돋움"/>
            <family val="3"/>
            <charset val="129"/>
          </rPr>
          <t>설정한</t>
        </r>
        <r>
          <rPr>
            <sz val="9"/>
            <color indexed="81"/>
            <rFont val="Tahoma"/>
            <family val="2"/>
          </rPr>
          <t xml:space="preserve"> </t>
        </r>
        <r>
          <rPr>
            <sz val="9"/>
            <color indexed="81"/>
            <rFont val="돋움"/>
            <family val="3"/>
            <charset val="129"/>
          </rPr>
          <t>환자라는</t>
        </r>
        <r>
          <rPr>
            <sz val="9"/>
            <color indexed="81"/>
            <rFont val="Tahoma"/>
            <family val="2"/>
          </rPr>
          <t xml:space="preserve"> </t>
        </r>
        <r>
          <rPr>
            <sz val="9"/>
            <color indexed="81"/>
            <rFont val="돋움"/>
            <family val="3"/>
            <charset val="129"/>
          </rPr>
          <t>점을</t>
        </r>
        <r>
          <rPr>
            <sz val="9"/>
            <color indexed="81"/>
            <rFont val="Tahoma"/>
            <family val="2"/>
          </rPr>
          <t xml:space="preserve"> </t>
        </r>
        <r>
          <rPr>
            <sz val="9"/>
            <color indexed="81"/>
            <rFont val="돋움"/>
            <family val="3"/>
            <charset val="129"/>
          </rPr>
          <t>주의</t>
        </r>
      </text>
    </comment>
    <comment ref="FD16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중국에서</t>
        </r>
        <r>
          <rPr>
            <sz val="9"/>
            <color indexed="81"/>
            <rFont val="Tahoma"/>
            <family val="2"/>
          </rPr>
          <t xml:space="preserve"> </t>
        </r>
        <r>
          <rPr>
            <sz val="9"/>
            <color indexed="81"/>
            <rFont val="돋움"/>
            <family val="3"/>
            <charset val="129"/>
          </rPr>
          <t>온</t>
        </r>
        <r>
          <rPr>
            <sz val="9"/>
            <color indexed="81"/>
            <rFont val="Tahoma"/>
            <family val="2"/>
          </rPr>
          <t xml:space="preserve"> </t>
        </r>
        <r>
          <rPr>
            <sz val="9"/>
            <color indexed="81"/>
            <rFont val="돋움"/>
            <family val="3"/>
            <charset val="129"/>
          </rPr>
          <t>환자라서</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확인되지</t>
        </r>
        <r>
          <rPr>
            <sz val="9"/>
            <color indexed="81"/>
            <rFont val="Tahoma"/>
            <family val="2"/>
          </rPr>
          <t xml:space="preserve"> </t>
        </r>
        <r>
          <rPr>
            <sz val="9"/>
            <color indexed="81"/>
            <rFont val="돋움"/>
            <family val="3"/>
            <charset val="129"/>
          </rPr>
          <t>않는다</t>
        </r>
        <r>
          <rPr>
            <sz val="9"/>
            <color indexed="81"/>
            <rFont val="Tahoma"/>
            <family val="2"/>
          </rPr>
          <t>.</t>
        </r>
      </text>
    </comment>
    <comment ref="AS17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일단은</t>
        </r>
        <r>
          <rPr>
            <sz val="9"/>
            <color indexed="81"/>
            <rFont val="Tahoma"/>
            <family val="2"/>
          </rPr>
          <t xml:space="preserve"> </t>
        </r>
        <r>
          <rPr>
            <sz val="9"/>
            <color indexed="81"/>
            <rFont val="돋움"/>
            <family val="3"/>
            <charset val="129"/>
          </rPr>
          <t>아닌걸로</t>
        </r>
        <r>
          <rPr>
            <sz val="9"/>
            <color indexed="81"/>
            <rFont val="Tahoma"/>
            <family val="2"/>
          </rPr>
          <t xml:space="preserve"> </t>
        </r>
        <r>
          <rPr>
            <sz val="9"/>
            <color indexed="81"/>
            <rFont val="돋움"/>
            <family val="3"/>
            <charset val="129"/>
          </rPr>
          <t>간주함</t>
        </r>
      </text>
    </comment>
    <comment ref="BA17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인근</t>
        </r>
        <r>
          <rPr>
            <sz val="9"/>
            <color indexed="81"/>
            <rFont val="Tahoma"/>
            <family val="2"/>
          </rPr>
          <t xml:space="preserve"> lymph node</t>
        </r>
        <r>
          <rPr>
            <sz val="9"/>
            <color indexed="81"/>
            <rFont val="돋움"/>
            <family val="3"/>
            <charset val="129"/>
          </rPr>
          <t>와</t>
        </r>
        <r>
          <rPr>
            <sz val="9"/>
            <color indexed="81"/>
            <rFont val="Tahoma"/>
            <family val="2"/>
          </rPr>
          <t xml:space="preserve"> </t>
        </r>
        <r>
          <rPr>
            <sz val="9"/>
            <color indexed="81"/>
            <rFont val="돋움"/>
            <family val="3"/>
            <charset val="129"/>
          </rPr>
          <t>경계는</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구별되지</t>
        </r>
        <r>
          <rPr>
            <sz val="9"/>
            <color indexed="81"/>
            <rFont val="Tahoma"/>
            <family val="2"/>
          </rPr>
          <t xml:space="preserve"> </t>
        </r>
        <r>
          <rPr>
            <sz val="9"/>
            <color indexed="81"/>
            <rFont val="돋움"/>
            <family val="3"/>
            <charset val="129"/>
          </rPr>
          <t>않는다</t>
        </r>
      </text>
    </comment>
    <comment ref="AS17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일단은</t>
        </r>
        <r>
          <rPr>
            <sz val="9"/>
            <color indexed="81"/>
            <rFont val="Tahoma"/>
            <family val="2"/>
          </rPr>
          <t xml:space="preserve"> </t>
        </r>
        <r>
          <rPr>
            <sz val="9"/>
            <color indexed="81"/>
            <rFont val="돋움"/>
            <family val="3"/>
            <charset val="129"/>
          </rPr>
          <t>아닌걸로</t>
        </r>
        <r>
          <rPr>
            <sz val="9"/>
            <color indexed="81"/>
            <rFont val="Tahoma"/>
            <family val="2"/>
          </rPr>
          <t xml:space="preserve"> </t>
        </r>
        <r>
          <rPr>
            <sz val="9"/>
            <color indexed="81"/>
            <rFont val="돋움"/>
            <family val="3"/>
            <charset val="129"/>
          </rPr>
          <t>간주함</t>
        </r>
      </text>
    </comment>
    <comment ref="BU17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AKI</t>
        </r>
        <r>
          <rPr>
            <sz val="9"/>
            <color indexed="81"/>
            <rFont val="돋움"/>
            <family val="3"/>
            <charset val="129"/>
          </rPr>
          <t>로</t>
        </r>
        <r>
          <rPr>
            <sz val="9"/>
            <color indexed="81"/>
            <rFont val="Tahoma"/>
            <family val="2"/>
          </rPr>
          <t xml:space="preserve">  #2</t>
        </r>
        <r>
          <rPr>
            <sz val="9"/>
            <color indexed="81"/>
            <rFont val="돋움"/>
            <family val="3"/>
            <charset val="129"/>
          </rPr>
          <t>를</t>
        </r>
        <r>
          <rPr>
            <sz val="9"/>
            <color indexed="81"/>
            <rFont val="Tahoma"/>
            <family val="2"/>
          </rPr>
          <t xml:space="preserve"> </t>
        </r>
        <r>
          <rPr>
            <sz val="9"/>
            <color indexed="81"/>
            <rFont val="돋움"/>
            <family val="3"/>
            <charset val="129"/>
          </rPr>
          <t>시행하지</t>
        </r>
        <r>
          <rPr>
            <sz val="9"/>
            <color indexed="81"/>
            <rFont val="Tahoma"/>
            <family val="2"/>
          </rPr>
          <t xml:space="preserve"> </t>
        </r>
        <r>
          <rPr>
            <sz val="9"/>
            <color indexed="81"/>
            <rFont val="돋움"/>
            <family val="3"/>
            <charset val="129"/>
          </rPr>
          <t>못하였다</t>
        </r>
        <r>
          <rPr>
            <sz val="9"/>
            <color indexed="81"/>
            <rFont val="Tahoma"/>
            <family val="2"/>
          </rPr>
          <t>.</t>
        </r>
      </text>
    </comment>
    <comment ref="BA17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lymph node</t>
        </r>
        <r>
          <rPr>
            <sz val="9"/>
            <color indexed="81"/>
            <rFont val="돋움"/>
            <family val="3"/>
            <charset val="129"/>
          </rPr>
          <t>와</t>
        </r>
        <r>
          <rPr>
            <sz val="9"/>
            <color indexed="81"/>
            <rFont val="Tahoma"/>
            <family val="2"/>
          </rPr>
          <t xml:space="preserve"> </t>
        </r>
        <r>
          <rPr>
            <sz val="9"/>
            <color indexed="81"/>
            <rFont val="돋움"/>
            <family val="3"/>
            <charset val="129"/>
          </rPr>
          <t>경계가</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구별되지</t>
        </r>
        <r>
          <rPr>
            <sz val="9"/>
            <color indexed="81"/>
            <rFont val="Tahoma"/>
            <family val="2"/>
          </rPr>
          <t xml:space="preserve"> </t>
        </r>
        <r>
          <rPr>
            <sz val="9"/>
            <color indexed="81"/>
            <rFont val="돋움"/>
            <family val="3"/>
            <charset val="129"/>
          </rPr>
          <t>않는다</t>
        </r>
        <r>
          <rPr>
            <sz val="9"/>
            <color indexed="81"/>
            <rFont val="Tahoma"/>
            <family val="2"/>
          </rPr>
          <t>.</t>
        </r>
      </text>
    </comment>
    <comment ref="CC179" authorId="1" shapeId="0">
      <text>
        <r>
          <rPr>
            <b/>
            <sz val="9"/>
            <color indexed="81"/>
            <rFont val="Tahoma"/>
            <family val="2"/>
          </rPr>
          <t>SNUH:</t>
        </r>
        <r>
          <rPr>
            <sz val="9"/>
            <color indexed="81"/>
            <rFont val="Tahoma"/>
            <family val="2"/>
          </rPr>
          <t xml:space="preserve">
pre-CCRT PET</t>
        </r>
        <r>
          <rPr>
            <sz val="9"/>
            <color indexed="81"/>
            <rFont val="돋움"/>
            <family val="3"/>
            <charset val="129"/>
          </rPr>
          <t>을</t>
        </r>
        <r>
          <rPr>
            <sz val="9"/>
            <color indexed="81"/>
            <rFont val="Tahoma"/>
            <family val="2"/>
          </rPr>
          <t xml:space="preserve"> </t>
        </r>
        <r>
          <rPr>
            <sz val="9"/>
            <color indexed="81"/>
            <rFont val="돋움"/>
            <family val="3"/>
            <charset val="129"/>
          </rPr>
          <t>확인할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t>
        </r>
      </text>
    </comment>
    <comment ref="DK179" authorId="1" shapeId="0">
      <text>
        <r>
          <rPr>
            <b/>
            <sz val="9"/>
            <color indexed="81"/>
            <rFont val="Tahoma"/>
            <family val="2"/>
          </rPr>
          <t>SNUH:</t>
        </r>
        <r>
          <rPr>
            <sz val="9"/>
            <color indexed="81"/>
            <rFont val="Tahoma"/>
            <family val="2"/>
          </rPr>
          <t xml:space="preserve">
pelvis LN pall RT</t>
        </r>
      </text>
    </comment>
    <comment ref="AF18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PAN</t>
        </r>
      </text>
    </comment>
    <comment ref="DI18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O&amp;C</t>
        </r>
        <r>
          <rPr>
            <sz val="9"/>
            <color indexed="81"/>
            <rFont val="돋움"/>
            <family val="3"/>
            <charset val="129"/>
          </rPr>
          <t>를</t>
        </r>
        <r>
          <rPr>
            <sz val="9"/>
            <color indexed="81"/>
            <rFont val="Tahoma"/>
            <family val="2"/>
          </rPr>
          <t xml:space="preserve"> </t>
        </r>
        <r>
          <rPr>
            <sz val="9"/>
            <color indexed="81"/>
            <rFont val="돋움"/>
            <family val="3"/>
            <charset val="129"/>
          </rPr>
          <t>했는데</t>
        </r>
        <r>
          <rPr>
            <sz val="9"/>
            <color indexed="81"/>
            <rFont val="Tahoma"/>
            <family val="2"/>
          </rPr>
          <t xml:space="preserve"> adjuvant</t>
        </r>
        <r>
          <rPr>
            <sz val="9"/>
            <color indexed="81"/>
            <rFont val="돋움"/>
            <family val="3"/>
            <charset val="129"/>
          </rPr>
          <t>라고</t>
        </r>
        <r>
          <rPr>
            <sz val="9"/>
            <color indexed="81"/>
            <rFont val="Tahoma"/>
            <family val="2"/>
          </rPr>
          <t xml:space="preserve"> </t>
        </r>
        <r>
          <rPr>
            <sz val="9"/>
            <color indexed="81"/>
            <rFont val="돋움"/>
            <family val="3"/>
            <charset val="129"/>
          </rPr>
          <t>하기는</t>
        </r>
        <r>
          <rPr>
            <sz val="9"/>
            <color indexed="81"/>
            <rFont val="Tahoma"/>
            <family val="2"/>
          </rPr>
          <t xml:space="preserve"> </t>
        </r>
        <r>
          <rPr>
            <sz val="9"/>
            <color indexed="81"/>
            <rFont val="돋움"/>
            <family val="3"/>
            <charset val="129"/>
          </rPr>
          <t>좀</t>
        </r>
        <r>
          <rPr>
            <sz val="9"/>
            <color indexed="81"/>
            <rFont val="Tahoma"/>
            <family val="2"/>
          </rPr>
          <t>.</t>
        </r>
      </text>
    </comment>
    <comment ref="DK180" authorId="1" shapeId="0">
      <text>
        <r>
          <rPr>
            <b/>
            <sz val="9"/>
            <color rgb="FF000000"/>
            <rFont val="Tahoma"/>
            <family val="2"/>
          </rPr>
          <t>SNUH:</t>
        </r>
        <r>
          <rPr>
            <sz val="9"/>
            <color rgb="FF000000"/>
            <rFont val="Tahoma"/>
            <family val="2"/>
          </rPr>
          <t xml:space="preserve">
</t>
        </r>
        <r>
          <rPr>
            <sz val="9"/>
            <color rgb="FF000000"/>
            <rFont val="Tahoma"/>
            <family val="2"/>
          </rPr>
          <t xml:space="preserve">Persistent wall thickening, lower esophagus and stomach.
</t>
        </r>
        <r>
          <rPr>
            <sz val="9"/>
            <color rgb="FF000000"/>
            <rFont val="Tahoma"/>
            <family val="2"/>
          </rPr>
          <t xml:space="preserve">Extensive liver metastasis and LN metastasis in upper abdomen.
</t>
        </r>
        <r>
          <rPr>
            <sz val="9"/>
            <color rgb="FF000000"/>
            <rFont val="Tahoma"/>
            <family val="2"/>
          </rPr>
          <t xml:space="preserve">Multiple tiny nodules in both lungs.
</t>
        </r>
        <r>
          <rPr>
            <sz val="9"/>
            <color rgb="FF000000"/>
            <rFont val="Tahoma"/>
            <family val="2"/>
          </rPr>
          <t>Lung parenchymal metastasis, most likely.</t>
        </r>
      </text>
    </comment>
    <comment ref="AF18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SCL</t>
        </r>
      </text>
    </comment>
    <comment ref="AO18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SCL</t>
        </r>
        <r>
          <rPr>
            <sz val="9"/>
            <color indexed="81"/>
            <rFont val="돋움"/>
            <family val="3"/>
            <charset val="129"/>
          </rPr>
          <t>은</t>
        </r>
        <r>
          <rPr>
            <sz val="9"/>
            <color indexed="81"/>
            <rFont val="Tahoma"/>
            <family val="2"/>
          </rPr>
          <t xml:space="preserve"> elective</t>
        </r>
        <r>
          <rPr>
            <sz val="9"/>
            <color indexed="81"/>
            <rFont val="돋움"/>
            <family val="3"/>
            <charset val="129"/>
          </rPr>
          <t>가</t>
        </r>
        <r>
          <rPr>
            <sz val="9"/>
            <color indexed="81"/>
            <rFont val="Tahoma"/>
            <family val="2"/>
          </rPr>
          <t xml:space="preserve"> </t>
        </r>
        <r>
          <rPr>
            <sz val="9"/>
            <color indexed="81"/>
            <rFont val="돋움"/>
            <family val="3"/>
            <charset val="129"/>
          </rPr>
          <t>아니다</t>
        </r>
        <r>
          <rPr>
            <sz val="9"/>
            <color indexed="81"/>
            <rFont val="Tahoma"/>
            <family val="2"/>
          </rPr>
          <t>.</t>
        </r>
      </text>
    </comment>
    <comment ref="DU18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2010/3/8 CT </t>
        </r>
        <r>
          <rPr>
            <sz val="9"/>
            <color indexed="81"/>
            <rFont val="돋움"/>
            <family val="3"/>
            <charset val="129"/>
          </rPr>
          <t>상에서</t>
        </r>
        <r>
          <rPr>
            <sz val="9"/>
            <color indexed="81"/>
            <rFont val="Tahoma"/>
            <family val="2"/>
          </rPr>
          <t xml:space="preserve"> thoracic inlet level</t>
        </r>
        <r>
          <rPr>
            <sz val="9"/>
            <color indexed="81"/>
            <rFont val="돋움"/>
            <family val="3"/>
            <charset val="129"/>
          </rPr>
          <t>의</t>
        </r>
        <r>
          <rPr>
            <sz val="9"/>
            <color indexed="81"/>
            <rFont val="Tahoma"/>
            <family val="2"/>
          </rPr>
          <t xml:space="preserve"> bilateral paratracheal LN, subcarinal mass</t>
        </r>
        <r>
          <rPr>
            <sz val="9"/>
            <color indexed="81"/>
            <rFont val="돋움"/>
            <family val="3"/>
            <charset val="129"/>
          </rPr>
          <t>가</t>
        </r>
        <r>
          <rPr>
            <sz val="9"/>
            <color indexed="81"/>
            <rFont val="Tahoma"/>
            <family val="2"/>
          </rPr>
          <t xml:space="preserve"> </t>
        </r>
        <r>
          <rPr>
            <sz val="9"/>
            <color indexed="81"/>
            <rFont val="돋움"/>
            <family val="3"/>
            <charset val="129"/>
          </rPr>
          <t>증가함</t>
        </r>
        <r>
          <rPr>
            <sz val="9"/>
            <color indexed="81"/>
            <rFont val="Tahoma"/>
            <family val="2"/>
          </rPr>
          <t>.</t>
        </r>
      </text>
    </comment>
    <comment ref="DQ18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Increased extent of esophageal wall thickening and infiltration in the mediastinum, subcarinal level</t>
        </r>
      </text>
    </comment>
    <comment ref="FU18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esophageal mass</t>
        </r>
        <r>
          <rPr>
            <sz val="9"/>
            <color indexed="81"/>
            <rFont val="돋움"/>
            <family val="3"/>
            <charset val="129"/>
          </rPr>
          <t>의</t>
        </r>
        <r>
          <rPr>
            <sz val="9"/>
            <color indexed="81"/>
            <rFont val="Tahoma"/>
            <family val="2"/>
          </rPr>
          <t xml:space="preserve"> PD</t>
        </r>
        <r>
          <rPr>
            <sz val="9"/>
            <color indexed="81"/>
            <rFont val="돋움"/>
            <family val="3"/>
            <charset val="129"/>
          </rPr>
          <t>가</t>
        </r>
        <r>
          <rPr>
            <sz val="9"/>
            <color indexed="81"/>
            <rFont val="Tahoma"/>
            <family val="2"/>
          </rPr>
          <t xml:space="preserve"> </t>
        </r>
        <r>
          <rPr>
            <sz val="9"/>
            <color indexed="81"/>
            <rFont val="돋움"/>
            <family val="3"/>
            <charset val="129"/>
          </rPr>
          <t>있었기도</t>
        </r>
        <r>
          <rPr>
            <sz val="9"/>
            <color indexed="81"/>
            <rFont val="Tahoma"/>
            <family val="2"/>
          </rPr>
          <t xml:space="preserve"> </t>
        </r>
        <r>
          <rPr>
            <sz val="9"/>
            <color indexed="81"/>
            <rFont val="돋움"/>
            <family val="3"/>
            <charset val="129"/>
          </rPr>
          <t>하고</t>
        </r>
        <r>
          <rPr>
            <sz val="9"/>
            <color indexed="81"/>
            <rFont val="Tahoma"/>
            <family val="2"/>
          </rPr>
          <t>...</t>
        </r>
      </text>
    </comment>
    <comment ref="CE183" authorId="1" shapeId="0">
      <text>
        <r>
          <rPr>
            <b/>
            <sz val="9"/>
            <color indexed="81"/>
            <rFont val="Tahoma"/>
            <family val="2"/>
          </rPr>
          <t>SNUH:</t>
        </r>
        <r>
          <rPr>
            <sz val="9"/>
            <color indexed="81"/>
            <rFont val="Tahoma"/>
            <family val="2"/>
          </rPr>
          <t xml:space="preserve">
op refused</t>
        </r>
      </text>
    </comment>
    <comment ref="AP18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abdomen</t>
        </r>
        <r>
          <rPr>
            <sz val="9"/>
            <color indexed="81"/>
            <rFont val="돋움"/>
            <family val="3"/>
            <charset val="129"/>
          </rPr>
          <t>에</t>
        </r>
        <r>
          <rPr>
            <sz val="9"/>
            <color indexed="81"/>
            <rFont val="Tahoma"/>
            <family val="2"/>
          </rPr>
          <t xml:space="preserve"> GTV</t>
        </r>
        <r>
          <rPr>
            <sz val="9"/>
            <color indexed="81"/>
            <rFont val="돋움"/>
            <family val="3"/>
            <charset val="129"/>
          </rPr>
          <t>가</t>
        </r>
        <r>
          <rPr>
            <sz val="9"/>
            <color indexed="81"/>
            <rFont val="Tahoma"/>
            <family val="2"/>
          </rPr>
          <t xml:space="preserve"> </t>
        </r>
        <r>
          <rPr>
            <sz val="9"/>
            <color indexed="81"/>
            <rFont val="돋움"/>
            <family val="3"/>
            <charset val="129"/>
          </rPr>
          <t>있어서</t>
        </r>
        <r>
          <rPr>
            <sz val="9"/>
            <color indexed="81"/>
            <rFont val="Tahoma"/>
            <family val="2"/>
          </rPr>
          <t xml:space="preserve"> elective</t>
        </r>
        <r>
          <rPr>
            <sz val="9"/>
            <color indexed="81"/>
            <rFont val="돋움"/>
            <family val="3"/>
            <charset val="129"/>
          </rPr>
          <t>라고</t>
        </r>
        <r>
          <rPr>
            <sz val="9"/>
            <color indexed="81"/>
            <rFont val="Tahoma"/>
            <family val="2"/>
          </rPr>
          <t xml:space="preserve"> </t>
        </r>
        <r>
          <rPr>
            <sz val="9"/>
            <color indexed="81"/>
            <rFont val="돋움"/>
            <family val="3"/>
            <charset val="129"/>
          </rPr>
          <t>하기는</t>
        </r>
        <r>
          <rPr>
            <sz val="9"/>
            <color indexed="81"/>
            <rFont val="Tahoma"/>
            <family val="2"/>
          </rPr>
          <t xml:space="preserve"> </t>
        </r>
        <r>
          <rPr>
            <sz val="9"/>
            <color indexed="81"/>
            <rFont val="돋움"/>
            <family val="3"/>
            <charset val="129"/>
          </rPr>
          <t>어렵다</t>
        </r>
        <r>
          <rPr>
            <sz val="9"/>
            <color indexed="81"/>
            <rFont val="Tahoma"/>
            <family val="2"/>
          </rPr>
          <t>.</t>
        </r>
      </text>
    </comment>
    <comment ref="DU18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subcarinal r/o aggravation in 2010/9/28 PET</t>
        </r>
      </text>
    </comment>
    <comment ref="C187" authorId="1" shapeId="0">
      <text>
        <r>
          <rPr>
            <b/>
            <sz val="9"/>
            <color rgb="FF000000"/>
            <rFont val="Tahoma"/>
            <family val="2"/>
          </rPr>
          <t>SNUH:</t>
        </r>
        <r>
          <rPr>
            <sz val="9"/>
            <color rgb="FF000000"/>
            <rFont val="Tahoma"/>
            <family val="2"/>
          </rPr>
          <t xml:space="preserve">
</t>
        </r>
        <r>
          <rPr>
            <sz val="9"/>
            <color rgb="FF000000"/>
            <rFont val="Tahoma"/>
            <family val="2"/>
          </rPr>
          <t xml:space="preserve">Op </t>
        </r>
        <r>
          <rPr>
            <sz val="9"/>
            <color rgb="FF000000"/>
            <rFont val="Tahoma"/>
            <family val="2"/>
          </rPr>
          <t>못받음</t>
        </r>
      </text>
    </comment>
    <comment ref="DI18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CCRT </t>
        </r>
        <r>
          <rPr>
            <sz val="9"/>
            <color indexed="81"/>
            <rFont val="돋움"/>
            <family val="3"/>
            <charset val="129"/>
          </rPr>
          <t>이후에</t>
        </r>
        <r>
          <rPr>
            <sz val="9"/>
            <color indexed="81"/>
            <rFont val="Tahoma"/>
            <family val="2"/>
          </rPr>
          <t xml:space="preserve"> chemotherapy</t>
        </r>
        <r>
          <rPr>
            <sz val="9"/>
            <color indexed="81"/>
            <rFont val="돋움"/>
            <family val="3"/>
            <charset val="129"/>
          </rPr>
          <t>는</t>
        </r>
        <r>
          <rPr>
            <sz val="9"/>
            <color indexed="81"/>
            <rFont val="Tahoma"/>
            <family val="2"/>
          </rPr>
          <t xml:space="preserve"> </t>
        </r>
        <r>
          <rPr>
            <sz val="9"/>
            <color indexed="81"/>
            <rFont val="돋움"/>
            <family val="3"/>
            <charset val="129"/>
          </rPr>
          <t>했는데</t>
        </r>
        <r>
          <rPr>
            <sz val="9"/>
            <color indexed="81"/>
            <rFont val="Tahoma"/>
            <family val="2"/>
          </rPr>
          <t xml:space="preserve">, </t>
        </r>
        <r>
          <rPr>
            <sz val="9"/>
            <color indexed="81"/>
            <rFont val="돋움"/>
            <family val="3"/>
            <charset val="129"/>
          </rPr>
          <t>수술을</t>
        </r>
        <r>
          <rPr>
            <sz val="9"/>
            <color indexed="81"/>
            <rFont val="Tahoma"/>
            <family val="2"/>
          </rPr>
          <t xml:space="preserve"> </t>
        </r>
        <r>
          <rPr>
            <sz val="9"/>
            <color indexed="81"/>
            <rFont val="돋움"/>
            <family val="3"/>
            <charset val="129"/>
          </rPr>
          <t>받지</t>
        </r>
        <r>
          <rPr>
            <sz val="9"/>
            <color indexed="81"/>
            <rFont val="Tahoma"/>
            <family val="2"/>
          </rPr>
          <t xml:space="preserve"> </t>
        </r>
        <r>
          <rPr>
            <sz val="9"/>
            <color indexed="81"/>
            <rFont val="돋움"/>
            <family val="3"/>
            <charset val="129"/>
          </rPr>
          <t>않았다는</t>
        </r>
        <r>
          <rPr>
            <sz val="9"/>
            <color indexed="81"/>
            <rFont val="Tahoma"/>
            <family val="2"/>
          </rPr>
          <t xml:space="preserve"> </t>
        </r>
        <r>
          <rPr>
            <sz val="9"/>
            <color indexed="81"/>
            <rFont val="돋움"/>
            <family val="3"/>
            <charset val="129"/>
          </rPr>
          <t>점</t>
        </r>
        <r>
          <rPr>
            <sz val="9"/>
            <color indexed="81"/>
            <rFont val="Tahoma"/>
            <family val="2"/>
          </rPr>
          <t>. (s/p w/DP #3 (11/10/24-12/1/6) )</t>
        </r>
      </text>
    </comment>
    <comment ref="DM187" authorId="1" shapeId="0">
      <text>
        <r>
          <rPr>
            <sz val="9"/>
            <color indexed="81"/>
            <rFont val="Tahoma"/>
            <family val="2"/>
          </rPr>
          <t>CCRT/FP -&gt; DP#3</t>
        </r>
        <r>
          <rPr>
            <sz val="9"/>
            <color indexed="81"/>
            <rFont val="돋움"/>
            <family val="3"/>
            <charset val="129"/>
          </rPr>
          <t>후에</t>
        </r>
        <r>
          <rPr>
            <sz val="9"/>
            <color indexed="81"/>
            <rFont val="Tahoma"/>
            <family val="2"/>
          </rPr>
          <t xml:space="preserve"> 2012/1/10 colitis with septic shock</t>
        </r>
        <r>
          <rPr>
            <sz val="9"/>
            <color indexed="81"/>
            <rFont val="돋움"/>
            <family val="3"/>
            <charset val="129"/>
          </rPr>
          <t>으로</t>
        </r>
        <r>
          <rPr>
            <sz val="9"/>
            <color indexed="81"/>
            <rFont val="Tahoma"/>
            <family val="2"/>
          </rPr>
          <t xml:space="preserve"> ER care. </t>
        </r>
        <r>
          <rPr>
            <sz val="9"/>
            <color indexed="81"/>
            <rFont val="돋움"/>
            <family val="3"/>
            <charset val="129"/>
          </rPr>
          <t>이후</t>
        </r>
        <r>
          <rPr>
            <sz val="9"/>
            <color indexed="81"/>
            <rFont val="Tahoma"/>
            <family val="2"/>
          </rPr>
          <t xml:space="preserve"> FU loss</t>
        </r>
      </text>
    </comment>
    <comment ref="FD187" authorId="3" shapeId="0">
      <text>
        <r>
          <rPr>
            <b/>
            <sz val="10"/>
            <color rgb="FF000000"/>
            <rFont val="Malgun Gothic"/>
            <family val="2"/>
            <charset val="129"/>
          </rPr>
          <t>Tae Hoon Lee:</t>
        </r>
        <r>
          <rPr>
            <sz val="10"/>
            <color rgb="FF000000"/>
            <rFont val="Malgun Gothic"/>
            <family val="2"/>
            <charset val="129"/>
          </rPr>
          <t xml:space="preserve">
</t>
        </r>
        <r>
          <rPr>
            <sz val="10"/>
            <color rgb="FF000000"/>
            <rFont val="Malgun Gothic"/>
            <family val="2"/>
            <charset val="129"/>
          </rPr>
          <t>외국인</t>
        </r>
      </text>
    </comment>
    <comment ref="O188" authorId="1" shapeId="0">
      <text>
        <r>
          <rPr>
            <b/>
            <sz val="9"/>
            <color indexed="81"/>
            <rFont val="Tahoma"/>
            <family val="2"/>
          </rPr>
          <t>SNUH:</t>
        </r>
        <r>
          <rPr>
            <sz val="9"/>
            <color indexed="81"/>
            <rFont val="Tahoma"/>
            <family val="2"/>
          </rPr>
          <t xml:space="preserve">
AdenoSq</t>
        </r>
      </text>
    </comment>
    <comment ref="C190" authorId="1" shapeId="0">
      <text>
        <r>
          <rPr>
            <b/>
            <sz val="9"/>
            <color indexed="81"/>
            <rFont val="Tahoma"/>
            <family val="2"/>
          </rPr>
          <t>SNUH:</t>
        </r>
        <r>
          <rPr>
            <sz val="9"/>
            <color indexed="81"/>
            <rFont val="Tahoma"/>
            <family val="2"/>
          </rPr>
          <t xml:space="preserve">
O&amp;C 후 boost RT</t>
        </r>
      </text>
    </comment>
    <comment ref="AJ190" authorId="1" shapeId="0">
      <text>
        <r>
          <rPr>
            <sz val="9"/>
            <color indexed="81"/>
            <rFont val="Tahoma"/>
            <family val="2"/>
          </rPr>
          <t>boost RT (2012/2/16-2/24)
#. Esophageal cancer (SqCC, UI 25-30cm), cT2N1 (2L) s/p CCRT 45+5.4Gy w/ FP (10/31/2011- 12/8/2011) s/p Exploratory thoracotomy (1/16/2012) d/t aorta invasion s/p boost RT 12.6Gy w/ FP (2/16/2012- 2/24/2012)
pT4N0</t>
        </r>
      </text>
    </comment>
    <comment ref="BJ190" authorId="1" shapeId="0">
      <text>
        <r>
          <rPr>
            <b/>
            <sz val="9"/>
            <color indexed="81"/>
            <rFont val="Tahoma"/>
            <family val="2"/>
          </rPr>
          <t>SNUH:</t>
        </r>
        <r>
          <rPr>
            <sz val="9"/>
            <color indexed="81"/>
            <rFont val="Tahoma"/>
            <family val="2"/>
          </rPr>
          <t xml:space="preserve">
preop 1, postop 1</t>
        </r>
      </text>
    </comment>
    <comment ref="DH19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12.6 Gy/7 fx to gross residual lesion + SI 2cm, radial 1cm and GTV-LV+1cm (CCRT with FB #1) (2012/2/16 - 2012/2/24)</t>
        </r>
      </text>
    </comment>
    <comment ref="DI19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Docetaxel #4 ('12.04.25 ~ 07.03) </t>
        </r>
        <r>
          <rPr>
            <sz val="9"/>
            <color indexed="81"/>
            <rFont val="돋움"/>
            <family val="3"/>
            <charset val="129"/>
          </rPr>
          <t>하긴</t>
        </r>
        <r>
          <rPr>
            <sz val="9"/>
            <color indexed="81"/>
            <rFont val="Tahoma"/>
            <family val="2"/>
          </rPr>
          <t xml:space="preserve"> </t>
        </r>
        <r>
          <rPr>
            <sz val="9"/>
            <color indexed="81"/>
            <rFont val="돋움"/>
            <family val="3"/>
            <charset val="129"/>
          </rPr>
          <t>했는데</t>
        </r>
        <r>
          <rPr>
            <sz val="9"/>
            <color indexed="81"/>
            <rFont val="Tahoma"/>
            <family val="2"/>
          </rPr>
          <t xml:space="preserve"> </t>
        </r>
        <r>
          <rPr>
            <sz val="9"/>
            <color indexed="81"/>
            <rFont val="돋움"/>
            <family val="3"/>
            <charset val="129"/>
          </rPr>
          <t>이걸</t>
        </r>
        <r>
          <rPr>
            <sz val="9"/>
            <color indexed="81"/>
            <rFont val="Tahoma"/>
            <family val="2"/>
          </rPr>
          <t xml:space="preserve"> adjuvant</t>
        </r>
        <r>
          <rPr>
            <sz val="9"/>
            <color indexed="81"/>
            <rFont val="돋움"/>
            <family val="3"/>
            <charset val="129"/>
          </rPr>
          <t>로</t>
        </r>
        <r>
          <rPr>
            <sz val="9"/>
            <color indexed="81"/>
            <rFont val="Tahoma"/>
            <family val="2"/>
          </rPr>
          <t xml:space="preserve"> </t>
        </r>
        <r>
          <rPr>
            <sz val="9"/>
            <color indexed="81"/>
            <rFont val="돋움"/>
            <family val="3"/>
            <charset val="129"/>
          </rPr>
          <t>보나</t>
        </r>
        <r>
          <rPr>
            <sz val="9"/>
            <color indexed="81"/>
            <rFont val="Tahoma"/>
            <family val="2"/>
          </rPr>
          <t xml:space="preserve"> </t>
        </r>
        <r>
          <rPr>
            <sz val="9"/>
            <color indexed="81"/>
            <rFont val="돋움"/>
            <family val="3"/>
            <charset val="129"/>
          </rPr>
          <t>어쩌나</t>
        </r>
        <r>
          <rPr>
            <sz val="9"/>
            <color indexed="81"/>
            <rFont val="Tahoma"/>
            <family val="2"/>
          </rPr>
          <t>...</t>
        </r>
      </text>
    </comment>
    <comment ref="DQ19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2012/9/18, tumor ingrowth in stent</t>
        </r>
      </text>
    </comment>
    <comment ref="FU19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수술을</t>
        </r>
        <r>
          <rPr>
            <sz val="9"/>
            <color indexed="81"/>
            <rFont val="Tahoma"/>
            <family val="2"/>
          </rPr>
          <t xml:space="preserve"> </t>
        </r>
        <r>
          <rPr>
            <sz val="9"/>
            <color indexed="81"/>
            <rFont val="돋움"/>
            <family val="3"/>
            <charset val="129"/>
          </rPr>
          <t>못한</t>
        </r>
        <r>
          <rPr>
            <sz val="9"/>
            <color indexed="81"/>
            <rFont val="Tahoma"/>
            <family val="2"/>
          </rPr>
          <t xml:space="preserve"> </t>
        </r>
        <r>
          <rPr>
            <sz val="9"/>
            <color indexed="81"/>
            <rFont val="돋움"/>
            <family val="3"/>
            <charset val="129"/>
          </rPr>
          <t>환자이고</t>
        </r>
        <r>
          <rPr>
            <sz val="9"/>
            <color indexed="81"/>
            <rFont val="Tahoma"/>
            <family val="2"/>
          </rPr>
          <t>, tumor regrowth</t>
        </r>
        <r>
          <rPr>
            <sz val="9"/>
            <color indexed="81"/>
            <rFont val="돋움"/>
            <family val="3"/>
            <charset val="129"/>
          </rPr>
          <t>로</t>
        </r>
        <r>
          <rPr>
            <sz val="9"/>
            <color indexed="81"/>
            <rFont val="Tahoma"/>
            <family val="2"/>
          </rPr>
          <t xml:space="preserve"> </t>
        </r>
        <r>
          <rPr>
            <sz val="9"/>
            <color indexed="81"/>
            <rFont val="돋움"/>
            <family val="3"/>
            <charset val="129"/>
          </rPr>
          <t>인해서</t>
        </r>
        <r>
          <rPr>
            <sz val="9"/>
            <color indexed="81"/>
            <rFont val="Tahoma"/>
            <family val="2"/>
          </rPr>
          <t xml:space="preserve"> esophageal stent</t>
        </r>
        <r>
          <rPr>
            <sz val="9"/>
            <color indexed="81"/>
            <rFont val="돋움"/>
            <family val="3"/>
            <charset val="129"/>
          </rPr>
          <t>를</t>
        </r>
        <r>
          <rPr>
            <sz val="9"/>
            <color indexed="81"/>
            <rFont val="Tahoma"/>
            <family val="2"/>
          </rPr>
          <t xml:space="preserve"> </t>
        </r>
        <r>
          <rPr>
            <sz val="9"/>
            <color indexed="81"/>
            <rFont val="돋움"/>
            <family val="3"/>
            <charset val="129"/>
          </rPr>
          <t>했다고</t>
        </r>
        <r>
          <rPr>
            <sz val="9"/>
            <color indexed="81"/>
            <rFont val="Tahoma"/>
            <family val="2"/>
          </rPr>
          <t xml:space="preserve"> </t>
        </r>
        <r>
          <rPr>
            <sz val="9"/>
            <color indexed="81"/>
            <rFont val="돋움"/>
            <family val="3"/>
            <charset val="129"/>
          </rPr>
          <t>보는게</t>
        </r>
        <r>
          <rPr>
            <sz val="9"/>
            <color indexed="81"/>
            <rFont val="Tahoma"/>
            <family val="2"/>
          </rPr>
          <t xml:space="preserve"> </t>
        </r>
        <r>
          <rPr>
            <sz val="9"/>
            <color indexed="81"/>
            <rFont val="돋움"/>
            <family val="3"/>
            <charset val="129"/>
          </rPr>
          <t>맞을거다</t>
        </r>
        <r>
          <rPr>
            <sz val="9"/>
            <color indexed="81"/>
            <rFont val="Tahoma"/>
            <family val="2"/>
          </rPr>
          <t>.</t>
        </r>
      </text>
    </comment>
    <comment ref="C191" authorId="1" shapeId="0">
      <text>
        <r>
          <rPr>
            <b/>
            <sz val="9"/>
            <color indexed="81"/>
            <rFont val="Tahoma"/>
            <family val="2"/>
          </rPr>
          <t>SNUH:</t>
        </r>
        <r>
          <rPr>
            <sz val="9"/>
            <color indexed="81"/>
            <rFont val="Tahoma"/>
            <family val="2"/>
          </rPr>
          <t xml:space="preserve">
O&amp;C 후 boost RT</t>
        </r>
      </text>
    </comment>
    <comment ref="AJ191" authorId="1" shapeId="0">
      <text>
        <r>
          <rPr>
            <sz val="9"/>
            <color indexed="81"/>
            <rFont val="Tahoma"/>
            <family val="2"/>
          </rPr>
          <t>boost RT
#. Esophageal cancer, cT3N1 s/p Neoadjuvant CCRT 50.4Gy with FP #2 (2011/11/9-12/19) s/p O &amp; C (2012/1/25, d/t Rt. main bronchus invasion) incomplete RT, T/E fistula, expired 12/4/24
pT4N1</t>
        </r>
      </text>
    </comment>
    <comment ref="AN19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upper mediastinum</t>
        </r>
      </text>
    </comment>
    <comment ref="BJ191" authorId="1" shapeId="0">
      <text>
        <r>
          <rPr>
            <b/>
            <sz val="9"/>
            <color indexed="81"/>
            <rFont val="Tahoma"/>
            <family val="2"/>
          </rPr>
          <t>SNUH:</t>
        </r>
        <r>
          <rPr>
            <sz val="9"/>
            <color indexed="81"/>
            <rFont val="Tahoma"/>
            <family val="2"/>
          </rPr>
          <t xml:space="preserve">
preop 1, postop 1</t>
        </r>
      </text>
    </comment>
    <comment ref="DH19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12.6 Gy/7 fx to eso mass with FP #1 (2012/2/20 - 2012/3/5) and 26 Gy/13 fx to abd LN </t>
        </r>
        <r>
          <rPr>
            <sz val="9"/>
            <color indexed="81"/>
            <rFont val="돋움"/>
            <family val="3"/>
            <charset val="129"/>
          </rPr>
          <t>→</t>
        </r>
        <r>
          <rPr>
            <sz val="9"/>
            <color indexed="81"/>
            <rFont val="Tahoma"/>
            <family val="2"/>
          </rPr>
          <t xml:space="preserve"> incomplete RT d/t T-E fistula </t>
        </r>
        <r>
          <rPr>
            <sz val="9"/>
            <color indexed="81"/>
            <rFont val="돋움"/>
            <family val="3"/>
            <charset val="129"/>
          </rPr>
          <t>→</t>
        </r>
        <r>
          <rPr>
            <sz val="9"/>
            <color indexed="81"/>
            <rFont val="Tahoma"/>
            <family val="2"/>
          </rPr>
          <t xml:space="preserve"> expired 2012/4/24</t>
        </r>
      </text>
    </comment>
    <comment ref="DM191" authorId="1" shapeId="0">
      <text>
        <r>
          <rPr>
            <sz val="9"/>
            <color indexed="81"/>
            <rFont val="Tahoma"/>
            <family val="2"/>
          </rPr>
          <t>T/E fistula</t>
        </r>
        <r>
          <rPr>
            <sz val="9"/>
            <color indexed="81"/>
            <rFont val="돋움"/>
            <family val="3"/>
            <charset val="129"/>
          </rPr>
          <t>로</t>
        </r>
        <r>
          <rPr>
            <sz val="9"/>
            <color indexed="81"/>
            <rFont val="Tahoma"/>
            <family val="2"/>
          </rPr>
          <t xml:space="preserve"> expire.</t>
        </r>
      </text>
    </comment>
    <comment ref="FU19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2012/4/10 balloon dilatation.</t>
        </r>
      </text>
    </comment>
    <comment ref="FW19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tracheoesophageal fistula</t>
        </r>
        <r>
          <rPr>
            <sz val="9"/>
            <color indexed="81"/>
            <rFont val="돋움"/>
            <family val="3"/>
            <charset val="129"/>
          </rPr>
          <t>로</t>
        </r>
        <r>
          <rPr>
            <sz val="9"/>
            <color indexed="81"/>
            <rFont val="Tahoma"/>
            <family val="2"/>
          </rPr>
          <t xml:space="preserve"> 2012/4/10 stent </t>
        </r>
        <r>
          <rPr>
            <sz val="9"/>
            <color indexed="81"/>
            <rFont val="돋움"/>
            <family val="3"/>
            <charset val="129"/>
          </rPr>
          <t>했었다만</t>
        </r>
        <r>
          <rPr>
            <sz val="9"/>
            <color indexed="81"/>
            <rFont val="Tahoma"/>
            <family val="2"/>
          </rPr>
          <t xml:space="preserve">, </t>
        </r>
        <r>
          <rPr>
            <sz val="9"/>
            <color indexed="81"/>
            <rFont val="돋움"/>
            <family val="3"/>
            <charset val="129"/>
          </rPr>
          <t>수술하지</t>
        </r>
        <r>
          <rPr>
            <sz val="9"/>
            <color indexed="81"/>
            <rFont val="Tahoma"/>
            <family val="2"/>
          </rPr>
          <t xml:space="preserve"> </t>
        </r>
        <r>
          <rPr>
            <sz val="9"/>
            <color indexed="81"/>
            <rFont val="돋움"/>
            <family val="3"/>
            <charset val="129"/>
          </rPr>
          <t>못한</t>
        </r>
        <r>
          <rPr>
            <sz val="9"/>
            <color indexed="81"/>
            <rFont val="Tahoma"/>
            <family val="2"/>
          </rPr>
          <t xml:space="preserve"> </t>
        </r>
        <r>
          <rPr>
            <sz val="9"/>
            <color indexed="81"/>
            <rFont val="돋움"/>
            <family val="3"/>
            <charset val="129"/>
          </rPr>
          <t>환자라는</t>
        </r>
        <r>
          <rPr>
            <sz val="9"/>
            <color indexed="81"/>
            <rFont val="Tahoma"/>
            <family val="2"/>
          </rPr>
          <t xml:space="preserve"> </t>
        </r>
        <r>
          <rPr>
            <sz val="9"/>
            <color indexed="81"/>
            <rFont val="돋움"/>
            <family val="3"/>
            <charset val="129"/>
          </rPr>
          <t>점이</t>
        </r>
        <r>
          <rPr>
            <sz val="9"/>
            <color indexed="81"/>
            <rFont val="Tahoma"/>
            <family val="2"/>
          </rPr>
          <t xml:space="preserve"> </t>
        </r>
        <r>
          <rPr>
            <sz val="9"/>
            <color indexed="81"/>
            <rFont val="돋움"/>
            <family val="3"/>
            <charset val="129"/>
          </rPr>
          <t>문제</t>
        </r>
        <r>
          <rPr>
            <sz val="9"/>
            <color indexed="81"/>
            <rFont val="Tahoma"/>
            <family val="2"/>
          </rPr>
          <t xml:space="preserve">. </t>
        </r>
        <r>
          <rPr>
            <sz val="9"/>
            <color indexed="81"/>
            <rFont val="돋움"/>
            <family val="3"/>
            <charset val="129"/>
          </rPr>
          <t>수술장</t>
        </r>
        <r>
          <rPr>
            <sz val="9"/>
            <color indexed="81"/>
            <rFont val="Tahoma"/>
            <family val="2"/>
          </rPr>
          <t xml:space="preserve"> </t>
        </r>
        <r>
          <rPr>
            <sz val="9"/>
            <color indexed="81"/>
            <rFont val="돋움"/>
            <family val="3"/>
            <charset val="129"/>
          </rPr>
          <t>소견에서</t>
        </r>
        <r>
          <rPr>
            <sz val="9"/>
            <color indexed="81"/>
            <rFont val="Tahoma"/>
            <family val="2"/>
          </rPr>
          <t xml:space="preserve"> tumor</t>
        </r>
        <r>
          <rPr>
            <sz val="9"/>
            <color indexed="81"/>
            <rFont val="돋움"/>
            <family val="3"/>
            <charset val="129"/>
          </rPr>
          <t>이</t>
        </r>
        <r>
          <rPr>
            <sz val="9"/>
            <color indexed="81"/>
            <rFont val="Tahoma"/>
            <family val="2"/>
          </rPr>
          <t xml:space="preserve"> main bronchus</t>
        </r>
        <r>
          <rPr>
            <sz val="9"/>
            <color indexed="81"/>
            <rFont val="돋움"/>
            <family val="3"/>
            <charset val="129"/>
          </rPr>
          <t>를</t>
        </r>
        <r>
          <rPr>
            <sz val="9"/>
            <color indexed="81"/>
            <rFont val="Tahoma"/>
            <family val="2"/>
          </rPr>
          <t xml:space="preserve"> </t>
        </r>
        <r>
          <rPr>
            <sz val="9"/>
            <color indexed="81"/>
            <rFont val="돋움"/>
            <family val="3"/>
            <charset val="129"/>
          </rPr>
          <t>침범했었다는</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염두에</t>
        </r>
        <r>
          <rPr>
            <sz val="9"/>
            <color indexed="81"/>
            <rFont val="Tahoma"/>
            <family val="2"/>
          </rPr>
          <t xml:space="preserve"> </t>
        </r>
        <r>
          <rPr>
            <sz val="9"/>
            <color indexed="81"/>
            <rFont val="돋움"/>
            <family val="3"/>
            <charset val="129"/>
          </rPr>
          <t>둬야</t>
        </r>
        <r>
          <rPr>
            <sz val="9"/>
            <color indexed="81"/>
            <rFont val="Tahoma"/>
            <family val="2"/>
          </rPr>
          <t>.</t>
        </r>
      </text>
    </comment>
    <comment ref="C192" authorId="1" shapeId="0">
      <text>
        <r>
          <rPr>
            <b/>
            <sz val="9"/>
            <color indexed="81"/>
            <rFont val="Tahoma"/>
            <family val="2"/>
          </rPr>
          <t>SNUH:</t>
        </r>
        <r>
          <rPr>
            <sz val="9"/>
            <color indexed="81"/>
            <rFont val="Tahoma"/>
            <family val="2"/>
          </rPr>
          <t xml:space="preserve">
자의로 op 안받음</t>
        </r>
      </text>
    </comment>
    <comment ref="AN192" authorId="0" shapeId="0">
      <text>
        <r>
          <rPr>
            <b/>
            <sz val="9"/>
            <color indexed="81"/>
            <rFont val="Tahoma"/>
            <family val="2"/>
          </rPr>
          <t xml:space="preserve">Windows </t>
        </r>
        <r>
          <rPr>
            <b/>
            <sz val="9"/>
            <color indexed="81"/>
            <rFont val="돋움"/>
            <family val="3"/>
            <charset val="129"/>
          </rPr>
          <t>사용자</t>
        </r>
        <r>
          <rPr>
            <b/>
            <sz val="9"/>
            <color indexed="81"/>
            <rFont val="Tahoma"/>
            <family val="2"/>
          </rPr>
          <t xml:space="preserve">:
</t>
        </r>
        <r>
          <rPr>
            <sz val="9"/>
            <color indexed="81"/>
            <rFont val="Tahoma"/>
            <family val="2"/>
          </rPr>
          <t>upper mediastinum</t>
        </r>
      </text>
    </comment>
    <comment ref="AO19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t>
        </r>
        <r>
          <rPr>
            <sz val="9"/>
            <color indexed="81"/>
            <rFont val="돋움"/>
            <family val="3"/>
            <charset val="129"/>
          </rPr>
          <t>만</t>
        </r>
        <r>
          <rPr>
            <sz val="9"/>
            <color indexed="81"/>
            <rFont val="Tahoma"/>
            <family val="2"/>
          </rPr>
          <t>. 2R involvement</t>
        </r>
        <r>
          <rPr>
            <sz val="9"/>
            <color indexed="81"/>
            <rFont val="돋움"/>
            <family val="3"/>
            <charset val="129"/>
          </rPr>
          <t>로</t>
        </r>
        <r>
          <rPr>
            <sz val="9"/>
            <color indexed="81"/>
            <rFont val="Tahoma"/>
            <family val="2"/>
          </rPr>
          <t xml:space="preserve"> </t>
        </r>
        <r>
          <rPr>
            <sz val="9"/>
            <color indexed="81"/>
            <rFont val="돋움"/>
            <family val="3"/>
            <charset val="129"/>
          </rPr>
          <t>인해</t>
        </r>
        <r>
          <rPr>
            <sz val="9"/>
            <color indexed="81"/>
            <rFont val="Tahoma"/>
            <family val="2"/>
          </rPr>
          <t xml:space="preserve"> </t>
        </r>
        <r>
          <rPr>
            <sz val="9"/>
            <color indexed="81"/>
            <rFont val="돋움"/>
            <family val="3"/>
            <charset val="129"/>
          </rPr>
          <t>포함했던</t>
        </r>
        <r>
          <rPr>
            <sz val="9"/>
            <color indexed="81"/>
            <rFont val="Tahoma"/>
            <family val="2"/>
          </rPr>
          <t xml:space="preserve"> </t>
        </r>
        <r>
          <rPr>
            <sz val="9"/>
            <color indexed="81"/>
            <rFont val="돋움"/>
            <family val="3"/>
            <charset val="129"/>
          </rPr>
          <t>것으로</t>
        </r>
        <r>
          <rPr>
            <sz val="9"/>
            <color indexed="81"/>
            <rFont val="Tahoma"/>
            <family val="2"/>
          </rPr>
          <t xml:space="preserve"> </t>
        </r>
        <r>
          <rPr>
            <sz val="9"/>
            <color indexed="81"/>
            <rFont val="돋움"/>
            <family val="3"/>
            <charset val="129"/>
          </rPr>
          <t>보인다</t>
        </r>
        <r>
          <rPr>
            <sz val="9"/>
            <color indexed="81"/>
            <rFont val="Tahoma"/>
            <family val="2"/>
          </rPr>
          <t>.</t>
        </r>
      </text>
    </comment>
    <comment ref="AU19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그냥</t>
        </r>
        <r>
          <rPr>
            <sz val="9"/>
            <color indexed="81"/>
            <rFont val="Tahoma"/>
            <family val="2"/>
          </rPr>
          <t xml:space="preserve"> 0.5-1.0cm</t>
        </r>
        <r>
          <rPr>
            <sz val="9"/>
            <color indexed="81"/>
            <rFont val="돋움"/>
            <family val="3"/>
            <charset val="129"/>
          </rPr>
          <t>이라고</t>
        </r>
        <r>
          <rPr>
            <sz val="9"/>
            <color indexed="81"/>
            <rFont val="Tahoma"/>
            <family val="2"/>
          </rPr>
          <t xml:space="preserve"> </t>
        </r>
        <r>
          <rPr>
            <sz val="9"/>
            <color indexed="81"/>
            <rFont val="돋움"/>
            <family val="3"/>
            <charset val="129"/>
          </rPr>
          <t>되어</t>
        </r>
        <r>
          <rPr>
            <sz val="9"/>
            <color indexed="81"/>
            <rFont val="Tahoma"/>
            <family val="2"/>
          </rPr>
          <t xml:space="preserve"> </t>
        </r>
        <r>
          <rPr>
            <sz val="9"/>
            <color indexed="81"/>
            <rFont val="돋움"/>
            <family val="3"/>
            <charset val="129"/>
          </rPr>
          <t>있었는데</t>
        </r>
        <r>
          <rPr>
            <sz val="9"/>
            <color indexed="81"/>
            <rFont val="Tahoma"/>
            <family val="2"/>
          </rPr>
          <t xml:space="preserve">, target volume </t>
        </r>
        <r>
          <rPr>
            <sz val="9"/>
            <color indexed="81"/>
            <rFont val="돋움"/>
            <family val="3"/>
            <charset val="129"/>
          </rPr>
          <t>직접</t>
        </r>
        <r>
          <rPr>
            <sz val="9"/>
            <color indexed="81"/>
            <rFont val="Tahoma"/>
            <family val="2"/>
          </rPr>
          <t xml:space="preserve"> </t>
        </r>
        <r>
          <rPr>
            <sz val="9"/>
            <color indexed="81"/>
            <rFont val="돋움"/>
            <family val="3"/>
            <charset val="129"/>
          </rPr>
          <t>보면</t>
        </r>
        <r>
          <rPr>
            <sz val="9"/>
            <color indexed="81"/>
            <rFont val="Tahoma"/>
            <family val="2"/>
          </rPr>
          <t xml:space="preserve"> </t>
        </r>
        <r>
          <rPr>
            <sz val="9"/>
            <color indexed="81"/>
            <rFont val="돋움"/>
            <family val="3"/>
            <charset val="129"/>
          </rPr>
          <t>아무리</t>
        </r>
        <r>
          <rPr>
            <sz val="9"/>
            <color indexed="81"/>
            <rFont val="Tahoma"/>
            <family val="2"/>
          </rPr>
          <t xml:space="preserve"> </t>
        </r>
        <r>
          <rPr>
            <sz val="9"/>
            <color indexed="81"/>
            <rFont val="돋움"/>
            <family val="3"/>
            <charset val="129"/>
          </rPr>
          <t>봐도</t>
        </r>
        <r>
          <rPr>
            <sz val="9"/>
            <color indexed="81"/>
            <rFont val="Tahoma"/>
            <family val="2"/>
          </rPr>
          <t xml:space="preserve"> 4cm</t>
        </r>
        <r>
          <rPr>
            <sz val="9"/>
            <color indexed="81"/>
            <rFont val="돋움"/>
            <family val="3"/>
            <charset val="129"/>
          </rPr>
          <t>은</t>
        </r>
        <r>
          <rPr>
            <sz val="9"/>
            <color indexed="81"/>
            <rFont val="Tahoma"/>
            <family val="2"/>
          </rPr>
          <t xml:space="preserve"> </t>
        </r>
        <r>
          <rPr>
            <sz val="9"/>
            <color indexed="81"/>
            <rFont val="돋움"/>
            <family val="3"/>
            <charset val="129"/>
          </rPr>
          <t>되는</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같던데</t>
        </r>
        <r>
          <rPr>
            <sz val="9"/>
            <color indexed="81"/>
            <rFont val="Tahoma"/>
            <family val="2"/>
          </rPr>
          <t>?</t>
        </r>
      </text>
    </comment>
    <comment ref="FU19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2014/2/3 stent. </t>
        </r>
        <r>
          <rPr>
            <sz val="9"/>
            <color indexed="81"/>
            <rFont val="돋움"/>
            <family val="3"/>
            <charset val="129"/>
          </rPr>
          <t>수술</t>
        </r>
        <r>
          <rPr>
            <sz val="9"/>
            <color indexed="81"/>
            <rFont val="Tahoma"/>
            <family val="2"/>
          </rPr>
          <t xml:space="preserve"> </t>
        </r>
        <r>
          <rPr>
            <sz val="9"/>
            <color indexed="81"/>
            <rFont val="돋움"/>
            <family val="3"/>
            <charset val="129"/>
          </rPr>
          <t>안한</t>
        </r>
        <r>
          <rPr>
            <sz val="9"/>
            <color indexed="81"/>
            <rFont val="Tahoma"/>
            <family val="2"/>
          </rPr>
          <t xml:space="preserve"> </t>
        </r>
        <r>
          <rPr>
            <sz val="9"/>
            <color indexed="81"/>
            <rFont val="돋움"/>
            <family val="3"/>
            <charset val="129"/>
          </rPr>
          <t>환자라서</t>
        </r>
        <r>
          <rPr>
            <sz val="9"/>
            <color indexed="81"/>
            <rFont val="Tahoma"/>
            <family val="2"/>
          </rPr>
          <t xml:space="preserve"> disease progression</t>
        </r>
        <r>
          <rPr>
            <sz val="9"/>
            <color indexed="81"/>
            <rFont val="돋움"/>
            <family val="3"/>
            <charset val="129"/>
          </rPr>
          <t>도</t>
        </r>
        <r>
          <rPr>
            <sz val="9"/>
            <color indexed="81"/>
            <rFont val="Tahoma"/>
            <family val="2"/>
          </rPr>
          <t xml:space="preserve"> </t>
        </r>
        <r>
          <rPr>
            <sz val="9"/>
            <color indexed="81"/>
            <rFont val="돋움"/>
            <family val="3"/>
            <charset val="129"/>
          </rPr>
          <t>영향</t>
        </r>
        <r>
          <rPr>
            <sz val="9"/>
            <color indexed="81"/>
            <rFont val="Tahoma"/>
            <family val="2"/>
          </rPr>
          <t>.</t>
        </r>
      </text>
    </comment>
    <comment ref="FW19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Tracheo-esophageal fistula, </t>
        </r>
        <r>
          <rPr>
            <sz val="9"/>
            <color indexed="81"/>
            <rFont val="돋움"/>
            <family val="3"/>
            <charset val="129"/>
          </rPr>
          <t>하지만</t>
        </r>
        <r>
          <rPr>
            <sz val="9"/>
            <color indexed="81"/>
            <rFont val="Tahoma"/>
            <family val="2"/>
          </rPr>
          <t xml:space="preserve"> </t>
        </r>
        <r>
          <rPr>
            <sz val="9"/>
            <color indexed="81"/>
            <rFont val="돋움"/>
            <family val="3"/>
            <charset val="129"/>
          </rPr>
          <t>아무리봐도</t>
        </r>
        <r>
          <rPr>
            <sz val="9"/>
            <color indexed="81"/>
            <rFont val="Tahoma"/>
            <family val="2"/>
          </rPr>
          <t xml:space="preserve"> disease-progression </t>
        </r>
        <r>
          <rPr>
            <sz val="9"/>
            <color indexed="81"/>
            <rFont val="돋움"/>
            <family val="3"/>
            <charset val="129"/>
          </rPr>
          <t>탓이</t>
        </r>
        <r>
          <rPr>
            <sz val="9"/>
            <color indexed="81"/>
            <rFont val="Tahoma"/>
            <family val="2"/>
          </rPr>
          <t xml:space="preserve"> </t>
        </r>
        <r>
          <rPr>
            <sz val="9"/>
            <color indexed="81"/>
            <rFont val="돋움"/>
            <family val="3"/>
            <charset val="129"/>
          </rPr>
          <t>크다</t>
        </r>
        <r>
          <rPr>
            <sz val="9"/>
            <color indexed="81"/>
            <rFont val="Tahoma"/>
            <family val="2"/>
          </rPr>
          <t>.</t>
        </r>
      </text>
    </comment>
    <comment ref="DM19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기존값</t>
        </r>
        <r>
          <rPr>
            <sz val="9"/>
            <color indexed="81"/>
            <rFont val="Tahoma"/>
            <family val="2"/>
          </rPr>
          <t xml:space="preserve"> 1. </t>
        </r>
        <r>
          <rPr>
            <sz val="9"/>
            <color indexed="81"/>
            <rFont val="돋움"/>
            <family val="3"/>
            <charset val="129"/>
          </rPr>
          <t>본원</t>
        </r>
        <r>
          <rPr>
            <sz val="9"/>
            <color indexed="81"/>
            <rFont val="Tahoma"/>
            <family val="2"/>
          </rPr>
          <t xml:space="preserve"> </t>
        </r>
        <r>
          <rPr>
            <sz val="9"/>
            <color indexed="81"/>
            <rFont val="돋움"/>
            <family val="3"/>
            <charset val="129"/>
          </rPr>
          <t>기록</t>
        </r>
        <r>
          <rPr>
            <sz val="9"/>
            <color indexed="81"/>
            <rFont val="Tahoma"/>
            <family val="2"/>
          </rPr>
          <t xml:space="preserve"> </t>
        </r>
        <r>
          <rPr>
            <sz val="9"/>
            <color indexed="81"/>
            <rFont val="돋움"/>
            <family val="3"/>
            <charset val="129"/>
          </rPr>
          <t>상에서는</t>
        </r>
        <r>
          <rPr>
            <sz val="9"/>
            <color indexed="81"/>
            <rFont val="Tahoma"/>
            <family val="2"/>
          </rPr>
          <t xml:space="preserve"> </t>
        </r>
        <r>
          <rPr>
            <sz val="9"/>
            <color indexed="81"/>
            <rFont val="돋움"/>
            <family val="3"/>
            <charset val="129"/>
          </rPr>
          <t>재발의</t>
        </r>
        <r>
          <rPr>
            <sz val="9"/>
            <color indexed="81"/>
            <rFont val="Tahoma"/>
            <family val="2"/>
          </rPr>
          <t xml:space="preserve"> </t>
        </r>
        <r>
          <rPr>
            <sz val="9"/>
            <color indexed="81"/>
            <rFont val="돋움"/>
            <family val="3"/>
            <charset val="129"/>
          </rPr>
          <t>증거는</t>
        </r>
        <r>
          <rPr>
            <sz val="9"/>
            <color indexed="81"/>
            <rFont val="Tahoma"/>
            <family val="2"/>
          </rPr>
          <t xml:space="preserve"> </t>
        </r>
        <r>
          <rPr>
            <sz val="9"/>
            <color indexed="81"/>
            <rFont val="돋움"/>
            <family val="3"/>
            <charset val="129"/>
          </rPr>
          <t>찾기</t>
        </r>
        <r>
          <rPr>
            <sz val="9"/>
            <color indexed="81"/>
            <rFont val="Tahoma"/>
            <family val="2"/>
          </rPr>
          <t xml:space="preserve"> </t>
        </r>
        <r>
          <rPr>
            <sz val="9"/>
            <color indexed="81"/>
            <rFont val="돋움"/>
            <family val="3"/>
            <charset val="129"/>
          </rPr>
          <t>어렵다</t>
        </r>
        <r>
          <rPr>
            <sz val="9"/>
            <color indexed="81"/>
            <rFont val="Tahoma"/>
            <family val="2"/>
          </rPr>
          <t>, bronchus invasion</t>
        </r>
        <r>
          <rPr>
            <sz val="9"/>
            <color indexed="81"/>
            <rFont val="돋움"/>
            <family val="3"/>
            <charset val="129"/>
          </rPr>
          <t>으로</t>
        </r>
        <r>
          <rPr>
            <sz val="9"/>
            <color indexed="81"/>
            <rFont val="Tahoma"/>
            <family val="2"/>
          </rPr>
          <t xml:space="preserve"> </t>
        </r>
        <r>
          <rPr>
            <sz val="9"/>
            <color indexed="81"/>
            <rFont val="돋움"/>
            <family val="3"/>
            <charset val="129"/>
          </rPr>
          <t>인한</t>
        </r>
        <r>
          <rPr>
            <sz val="9"/>
            <color indexed="81"/>
            <rFont val="Tahoma"/>
            <family val="2"/>
          </rPr>
          <t xml:space="preserve"> fistula</t>
        </r>
        <r>
          <rPr>
            <sz val="9"/>
            <color indexed="81"/>
            <rFont val="돋움"/>
            <family val="3"/>
            <charset val="129"/>
          </rPr>
          <t>로</t>
        </r>
        <r>
          <rPr>
            <sz val="9"/>
            <color indexed="81"/>
            <rFont val="Tahoma"/>
            <family val="2"/>
          </rPr>
          <t xml:space="preserve"> </t>
        </r>
        <r>
          <rPr>
            <sz val="9"/>
            <color indexed="81"/>
            <rFont val="돋움"/>
            <family val="3"/>
            <charset val="129"/>
          </rPr>
          <t>사망해버려서</t>
        </r>
        <r>
          <rPr>
            <sz val="9"/>
            <color indexed="81"/>
            <rFont val="Tahoma"/>
            <family val="2"/>
          </rPr>
          <t>…</t>
        </r>
      </text>
    </comment>
    <comment ref="FW19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bronchus</t>
        </r>
        <r>
          <rPr>
            <sz val="9"/>
            <color indexed="81"/>
            <rFont val="돋움"/>
            <family val="3"/>
            <charset val="129"/>
          </rPr>
          <t>와</t>
        </r>
        <r>
          <rPr>
            <sz val="9"/>
            <color indexed="81"/>
            <rFont val="Tahoma"/>
            <family val="2"/>
          </rPr>
          <t xml:space="preserve"> esophagus</t>
        </r>
        <r>
          <rPr>
            <sz val="9"/>
            <color indexed="81"/>
            <rFont val="돋움"/>
            <family val="3"/>
            <charset val="129"/>
          </rPr>
          <t>로의</t>
        </r>
        <r>
          <rPr>
            <sz val="9"/>
            <color indexed="81"/>
            <rFont val="Tahoma"/>
            <family val="2"/>
          </rPr>
          <t xml:space="preserve"> fistula</t>
        </r>
        <r>
          <rPr>
            <sz val="9"/>
            <color indexed="81"/>
            <rFont val="돋움"/>
            <family val="3"/>
            <charset val="129"/>
          </rPr>
          <t>가</t>
        </r>
        <r>
          <rPr>
            <sz val="9"/>
            <color indexed="81"/>
            <rFont val="Tahoma"/>
            <family val="2"/>
          </rPr>
          <t xml:space="preserve"> </t>
        </r>
        <r>
          <rPr>
            <sz val="9"/>
            <color indexed="81"/>
            <rFont val="돋움"/>
            <family val="3"/>
            <charset val="129"/>
          </rPr>
          <t>있었던</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같은데</t>
        </r>
        <r>
          <rPr>
            <sz val="9"/>
            <color indexed="81"/>
            <rFont val="Tahoma"/>
            <family val="2"/>
          </rPr>
          <t xml:space="preserve">, </t>
        </r>
        <r>
          <rPr>
            <sz val="9"/>
            <color indexed="81"/>
            <rFont val="돋움"/>
            <family val="3"/>
            <charset val="129"/>
          </rPr>
          <t>수술을</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받았던</t>
        </r>
        <r>
          <rPr>
            <sz val="9"/>
            <color indexed="81"/>
            <rFont val="Tahoma"/>
            <family val="2"/>
          </rPr>
          <t xml:space="preserve"> </t>
        </r>
        <r>
          <rPr>
            <sz val="9"/>
            <color indexed="81"/>
            <rFont val="돋움"/>
            <family val="3"/>
            <charset val="129"/>
          </rPr>
          <t>경우라</t>
        </r>
        <r>
          <rPr>
            <sz val="9"/>
            <color indexed="81"/>
            <rFont val="Tahoma"/>
            <family val="2"/>
          </rPr>
          <t xml:space="preserve"> disease</t>
        </r>
        <r>
          <rPr>
            <sz val="9"/>
            <color indexed="81"/>
            <rFont val="돋움"/>
            <family val="3"/>
            <charset val="129"/>
          </rPr>
          <t>의</t>
        </r>
        <r>
          <rPr>
            <sz val="9"/>
            <color indexed="81"/>
            <rFont val="Tahoma"/>
            <family val="2"/>
          </rPr>
          <t xml:space="preserve"> </t>
        </r>
        <r>
          <rPr>
            <sz val="9"/>
            <color indexed="81"/>
            <rFont val="돋움"/>
            <family val="3"/>
            <charset val="129"/>
          </rPr>
          <t>영향도</t>
        </r>
        <r>
          <rPr>
            <sz val="9"/>
            <color indexed="81"/>
            <rFont val="Tahoma"/>
            <family val="2"/>
          </rPr>
          <t xml:space="preserve"> </t>
        </r>
        <r>
          <rPr>
            <sz val="9"/>
            <color indexed="81"/>
            <rFont val="돋움"/>
            <family val="3"/>
            <charset val="129"/>
          </rPr>
          <t>고려할</t>
        </r>
        <r>
          <rPr>
            <sz val="9"/>
            <color indexed="81"/>
            <rFont val="Tahoma"/>
            <family val="2"/>
          </rPr>
          <t xml:space="preserve"> </t>
        </r>
        <r>
          <rPr>
            <sz val="9"/>
            <color indexed="81"/>
            <rFont val="돋움"/>
            <family val="3"/>
            <charset val="129"/>
          </rPr>
          <t>필요가</t>
        </r>
        <r>
          <rPr>
            <sz val="9"/>
            <color indexed="81"/>
            <rFont val="Tahoma"/>
            <family val="2"/>
          </rPr>
          <t xml:space="preserve"> </t>
        </r>
        <r>
          <rPr>
            <sz val="9"/>
            <color indexed="81"/>
            <rFont val="돋움"/>
            <family val="3"/>
            <charset val="129"/>
          </rPr>
          <t>있다</t>
        </r>
        <r>
          <rPr>
            <sz val="9"/>
            <color indexed="81"/>
            <rFont val="Tahoma"/>
            <family val="2"/>
          </rPr>
          <t>.</t>
        </r>
      </text>
    </comment>
    <comment ref="FW19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bronchoesophageal fistula… </t>
        </r>
        <r>
          <rPr>
            <sz val="9"/>
            <color indexed="81"/>
            <rFont val="돋움"/>
            <family val="3"/>
            <charset val="129"/>
          </rPr>
          <t>수술</t>
        </r>
        <r>
          <rPr>
            <sz val="9"/>
            <color indexed="81"/>
            <rFont val="Tahoma"/>
            <family val="2"/>
          </rPr>
          <t xml:space="preserve"> </t>
        </r>
        <r>
          <rPr>
            <sz val="9"/>
            <color indexed="81"/>
            <rFont val="돋움"/>
            <family val="3"/>
            <charset val="129"/>
          </rPr>
          <t>못했다는</t>
        </r>
        <r>
          <rPr>
            <sz val="9"/>
            <color indexed="81"/>
            <rFont val="Tahoma"/>
            <family val="2"/>
          </rPr>
          <t xml:space="preserve"> </t>
        </r>
        <r>
          <rPr>
            <sz val="9"/>
            <color indexed="81"/>
            <rFont val="돋움"/>
            <family val="3"/>
            <charset val="129"/>
          </rPr>
          <t>점에</t>
        </r>
        <r>
          <rPr>
            <sz val="9"/>
            <color indexed="81"/>
            <rFont val="Tahoma"/>
            <family val="2"/>
          </rPr>
          <t xml:space="preserve"> </t>
        </r>
        <r>
          <rPr>
            <sz val="9"/>
            <color indexed="81"/>
            <rFont val="돋움"/>
            <family val="3"/>
            <charset val="129"/>
          </rPr>
          <t>유의</t>
        </r>
        <r>
          <rPr>
            <sz val="9"/>
            <color indexed="81"/>
            <rFont val="Tahoma"/>
            <family val="2"/>
          </rPr>
          <t>.</t>
        </r>
      </text>
    </comment>
    <comment ref="AQ19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애매하긴</t>
        </r>
        <r>
          <rPr>
            <sz val="9"/>
            <color indexed="81"/>
            <rFont val="Tahoma"/>
            <family val="2"/>
          </rPr>
          <t xml:space="preserve"> </t>
        </r>
        <r>
          <rPr>
            <sz val="9"/>
            <color indexed="81"/>
            <rFont val="돋움"/>
            <family val="3"/>
            <charset val="129"/>
          </rPr>
          <t>하네</t>
        </r>
        <r>
          <rPr>
            <sz val="9"/>
            <color indexed="81"/>
            <rFont val="Tahoma"/>
            <family val="2"/>
          </rPr>
          <t xml:space="preserve">, CTV </t>
        </r>
        <r>
          <rPr>
            <sz val="9"/>
            <color indexed="81"/>
            <rFont val="돋움"/>
            <family val="3"/>
            <charset val="129"/>
          </rPr>
          <t>위쪽의</t>
        </r>
        <r>
          <rPr>
            <sz val="9"/>
            <color indexed="81"/>
            <rFont val="Tahoma"/>
            <family val="2"/>
          </rPr>
          <t xml:space="preserve"> paratracheal LN area</t>
        </r>
        <r>
          <rPr>
            <sz val="9"/>
            <color indexed="81"/>
            <rFont val="돋움"/>
            <family val="3"/>
            <charset val="129"/>
          </rPr>
          <t>가</t>
        </r>
        <r>
          <rPr>
            <sz val="9"/>
            <color indexed="81"/>
            <rFont val="Tahoma"/>
            <family val="2"/>
          </rPr>
          <t xml:space="preserve"> </t>
        </r>
        <r>
          <rPr>
            <sz val="9"/>
            <color indexed="81"/>
            <rFont val="돋움"/>
            <family val="3"/>
            <charset val="129"/>
          </rPr>
          <t>일부</t>
        </r>
        <r>
          <rPr>
            <sz val="9"/>
            <color indexed="81"/>
            <rFont val="Tahoma"/>
            <family val="2"/>
          </rPr>
          <t xml:space="preserve"> </t>
        </r>
        <r>
          <rPr>
            <sz val="9"/>
            <color indexed="81"/>
            <rFont val="돋움"/>
            <family val="3"/>
            <charset val="129"/>
          </rPr>
          <t>포함된</t>
        </r>
        <r>
          <rPr>
            <sz val="9"/>
            <color indexed="81"/>
            <rFont val="Tahoma"/>
            <family val="2"/>
          </rPr>
          <t xml:space="preserve"> </t>
        </r>
        <r>
          <rPr>
            <sz val="9"/>
            <color indexed="81"/>
            <rFont val="돋움"/>
            <family val="3"/>
            <charset val="129"/>
          </rPr>
          <t>정도일</t>
        </r>
        <r>
          <rPr>
            <sz val="9"/>
            <color indexed="81"/>
            <rFont val="Tahoma"/>
            <family val="2"/>
          </rPr>
          <t xml:space="preserve"> </t>
        </r>
        <r>
          <rPr>
            <sz val="9"/>
            <color indexed="81"/>
            <rFont val="돋움"/>
            <family val="3"/>
            <charset val="129"/>
          </rPr>
          <t>뿐인데</t>
        </r>
        <r>
          <rPr>
            <sz val="9"/>
            <color indexed="81"/>
            <rFont val="Tahoma"/>
            <family val="2"/>
          </rPr>
          <t>.</t>
        </r>
      </text>
    </comment>
    <comment ref="FU19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stent insertion (2012/7/9), </t>
        </r>
        <r>
          <rPr>
            <sz val="9"/>
            <color indexed="81"/>
            <rFont val="돋움"/>
            <family val="3"/>
            <charset val="129"/>
          </rPr>
          <t>다만</t>
        </r>
        <r>
          <rPr>
            <sz val="9"/>
            <color indexed="81"/>
            <rFont val="Tahoma"/>
            <family val="2"/>
          </rPr>
          <t xml:space="preserve"> O&amp;C</t>
        </r>
        <r>
          <rPr>
            <sz val="9"/>
            <color indexed="81"/>
            <rFont val="돋움"/>
            <family val="3"/>
            <charset val="129"/>
          </rPr>
          <t>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말았다는</t>
        </r>
        <r>
          <rPr>
            <sz val="9"/>
            <color indexed="81"/>
            <rFont val="Tahoma"/>
            <family val="2"/>
          </rPr>
          <t xml:space="preserve"> </t>
        </r>
        <r>
          <rPr>
            <sz val="9"/>
            <color indexed="81"/>
            <rFont val="돋움"/>
            <family val="3"/>
            <charset val="129"/>
          </rPr>
          <t>점</t>
        </r>
        <r>
          <rPr>
            <sz val="9"/>
            <color indexed="81"/>
            <rFont val="Tahoma"/>
            <family val="2"/>
          </rPr>
          <t xml:space="preserve"> </t>
        </r>
        <r>
          <rPr>
            <sz val="9"/>
            <color indexed="81"/>
            <rFont val="돋움"/>
            <family val="3"/>
            <charset val="129"/>
          </rPr>
          <t>고려</t>
        </r>
        <r>
          <rPr>
            <sz val="9"/>
            <color indexed="81"/>
            <rFont val="Tahoma"/>
            <family val="2"/>
          </rPr>
          <t>.</t>
        </r>
      </text>
    </comment>
    <comment ref="J198" authorId="0" shapeId="0">
      <text>
        <r>
          <rPr>
            <b/>
            <sz val="9"/>
            <color indexed="81"/>
            <rFont val="Tahoma"/>
            <family val="2"/>
          </rPr>
          <t xml:space="preserve">Windows </t>
        </r>
        <r>
          <rPr>
            <b/>
            <sz val="9"/>
            <color indexed="81"/>
            <rFont val="돋움"/>
            <family val="3"/>
            <charset val="129"/>
          </rPr>
          <t>사용자</t>
        </r>
        <r>
          <rPr>
            <b/>
            <sz val="9"/>
            <color indexed="81"/>
            <rFont val="Tahoma"/>
            <family val="2"/>
          </rPr>
          <t xml:space="preserve">:
</t>
        </r>
        <r>
          <rPr>
            <sz val="9"/>
            <color indexed="81"/>
            <rFont val="돋움"/>
            <family val="3"/>
            <charset val="129"/>
          </rPr>
          <t>외부</t>
        </r>
        <r>
          <rPr>
            <sz val="9"/>
            <color indexed="81"/>
            <rFont val="Tahoma"/>
            <family val="2"/>
          </rPr>
          <t xml:space="preserve"> biopsy</t>
        </r>
        <r>
          <rPr>
            <sz val="9"/>
            <color indexed="81"/>
            <rFont val="돋움"/>
            <family val="3"/>
            <charset val="129"/>
          </rPr>
          <t>만</t>
        </r>
        <r>
          <rPr>
            <sz val="9"/>
            <color indexed="81"/>
            <rFont val="Tahoma"/>
            <family val="2"/>
          </rPr>
          <t xml:space="preserve"> </t>
        </r>
        <r>
          <rPr>
            <sz val="9"/>
            <color indexed="81"/>
            <rFont val="돋움"/>
            <family val="3"/>
            <charset val="129"/>
          </rPr>
          <t>존재하고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날짜는</t>
        </r>
        <r>
          <rPr>
            <sz val="9"/>
            <color indexed="81"/>
            <rFont val="Tahoma"/>
            <family val="2"/>
          </rPr>
          <t xml:space="preserve"> </t>
        </r>
        <r>
          <rPr>
            <sz val="9"/>
            <color indexed="81"/>
            <rFont val="돋움"/>
            <family val="3"/>
            <charset val="129"/>
          </rPr>
          <t>본원</t>
        </r>
        <r>
          <rPr>
            <sz val="9"/>
            <color indexed="81"/>
            <rFont val="Tahoma"/>
            <family val="2"/>
          </rPr>
          <t xml:space="preserve"> </t>
        </r>
        <r>
          <rPr>
            <sz val="9"/>
            <color indexed="81"/>
            <rFont val="돋움"/>
            <family val="3"/>
            <charset val="129"/>
          </rPr>
          <t>초진</t>
        </r>
        <r>
          <rPr>
            <sz val="9"/>
            <color indexed="81"/>
            <rFont val="Tahoma"/>
            <family val="2"/>
          </rPr>
          <t xml:space="preserve"> </t>
        </r>
        <r>
          <rPr>
            <sz val="9"/>
            <color indexed="81"/>
            <rFont val="돋움"/>
            <family val="3"/>
            <charset val="129"/>
          </rPr>
          <t>날짜임</t>
        </r>
        <r>
          <rPr>
            <sz val="9"/>
            <color indexed="81"/>
            <rFont val="Tahoma"/>
            <family val="2"/>
          </rPr>
          <t>.</t>
        </r>
      </text>
    </comment>
    <comment ref="R199" authorId="0" shapeId="0">
      <text>
        <r>
          <rPr>
            <b/>
            <sz val="9"/>
            <color indexed="81"/>
            <rFont val="Tahoma"/>
            <family val="2"/>
          </rPr>
          <t xml:space="preserve">Windows </t>
        </r>
        <r>
          <rPr>
            <b/>
            <sz val="9"/>
            <color indexed="81"/>
            <rFont val="돋움"/>
            <family val="3"/>
            <charset val="129"/>
          </rPr>
          <t>사용자</t>
        </r>
        <r>
          <rPr>
            <b/>
            <sz val="9"/>
            <color indexed="81"/>
            <rFont val="Tahoma"/>
            <family val="2"/>
          </rPr>
          <t xml:space="preserve">: </t>
        </r>
        <r>
          <rPr>
            <sz val="9"/>
            <color indexed="81"/>
            <rFont val="Tahoma"/>
            <family val="2"/>
          </rPr>
          <t>Neoadjuvant CCRT</t>
        </r>
        <r>
          <rPr>
            <sz val="9"/>
            <color indexed="81"/>
            <rFont val="돋움"/>
            <family val="3"/>
            <charset val="129"/>
          </rPr>
          <t>라고</t>
        </r>
        <r>
          <rPr>
            <sz val="9"/>
            <color indexed="81"/>
            <rFont val="Tahoma"/>
            <family val="2"/>
          </rPr>
          <t xml:space="preserve"> aim</t>
        </r>
        <r>
          <rPr>
            <sz val="9"/>
            <color indexed="81"/>
            <rFont val="돋움"/>
            <family val="3"/>
            <charset val="129"/>
          </rPr>
          <t>은</t>
        </r>
        <r>
          <rPr>
            <sz val="9"/>
            <color indexed="81"/>
            <rFont val="Tahoma"/>
            <family val="2"/>
          </rPr>
          <t xml:space="preserve"> </t>
        </r>
        <r>
          <rPr>
            <sz val="9"/>
            <color indexed="81"/>
            <rFont val="돋움"/>
            <family val="3"/>
            <charset val="129"/>
          </rPr>
          <t>명시되어</t>
        </r>
        <r>
          <rPr>
            <sz val="9"/>
            <color indexed="81"/>
            <rFont val="Tahoma"/>
            <family val="2"/>
          </rPr>
          <t xml:space="preserve"> </t>
        </r>
        <r>
          <rPr>
            <sz val="9"/>
            <color indexed="81"/>
            <rFont val="돋움"/>
            <family val="3"/>
            <charset val="129"/>
          </rPr>
          <t>있으나</t>
        </r>
        <r>
          <rPr>
            <sz val="9"/>
            <color indexed="81"/>
            <rFont val="Tahoma"/>
            <family val="2"/>
          </rPr>
          <t xml:space="preserve"> palliative effect</t>
        </r>
        <r>
          <rPr>
            <sz val="9"/>
            <color indexed="81"/>
            <rFont val="돋움"/>
            <family val="3"/>
            <charset val="129"/>
          </rPr>
          <t>라는</t>
        </r>
        <r>
          <rPr>
            <sz val="9"/>
            <color indexed="81"/>
            <rFont val="Tahoma"/>
            <family val="2"/>
          </rPr>
          <t xml:space="preserve"> </t>
        </r>
        <r>
          <rPr>
            <sz val="9"/>
            <color indexed="81"/>
            <rFont val="돋움"/>
            <family val="3"/>
            <charset val="129"/>
          </rPr>
          <t>언급</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있긴</t>
        </r>
        <r>
          <rPr>
            <sz val="9"/>
            <color indexed="81"/>
            <rFont val="Tahoma"/>
            <family val="2"/>
          </rPr>
          <t xml:space="preserve"> </t>
        </r>
        <r>
          <rPr>
            <sz val="9"/>
            <color indexed="81"/>
            <rFont val="돋움"/>
            <family val="3"/>
            <charset val="129"/>
          </rPr>
          <t>함</t>
        </r>
        <r>
          <rPr>
            <sz val="9"/>
            <color indexed="81"/>
            <rFont val="Tahoma"/>
            <family val="2"/>
          </rPr>
          <t>.</t>
        </r>
      </text>
    </comment>
    <comment ref="AF1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SCL...</t>
        </r>
      </text>
    </comment>
    <comment ref="AQ1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환자는</t>
        </r>
        <r>
          <rPr>
            <sz val="9"/>
            <color indexed="81"/>
            <rFont val="Tahoma"/>
            <family val="2"/>
          </rPr>
          <t xml:space="preserve"> </t>
        </r>
        <r>
          <rPr>
            <sz val="9"/>
            <color indexed="81"/>
            <rFont val="돋움"/>
            <family val="3"/>
            <charset val="129"/>
          </rPr>
          <t>솔직히</t>
        </r>
        <r>
          <rPr>
            <sz val="9"/>
            <color indexed="81"/>
            <rFont val="Tahoma"/>
            <family val="2"/>
          </rPr>
          <t xml:space="preserve"> field </t>
        </r>
        <r>
          <rPr>
            <sz val="9"/>
            <color indexed="81"/>
            <rFont val="돋움"/>
            <family val="3"/>
            <charset val="129"/>
          </rPr>
          <t>너무</t>
        </r>
        <r>
          <rPr>
            <sz val="9"/>
            <color indexed="81"/>
            <rFont val="Tahoma"/>
            <family val="2"/>
          </rPr>
          <t xml:space="preserve"> </t>
        </r>
        <r>
          <rPr>
            <sz val="9"/>
            <color indexed="81"/>
            <rFont val="돋움"/>
            <family val="3"/>
            <charset val="129"/>
          </rPr>
          <t>넓어서</t>
        </r>
        <r>
          <rPr>
            <sz val="9"/>
            <color indexed="81"/>
            <rFont val="Tahoma"/>
            <family val="2"/>
          </rPr>
          <t xml:space="preserve"> </t>
        </r>
        <r>
          <rPr>
            <sz val="9"/>
            <color indexed="81"/>
            <rFont val="돋움"/>
            <family val="3"/>
            <charset val="129"/>
          </rPr>
          <t>이렇게</t>
        </r>
        <r>
          <rPr>
            <sz val="9"/>
            <color indexed="81"/>
            <rFont val="Tahoma"/>
            <family val="2"/>
          </rPr>
          <t xml:space="preserve"> </t>
        </r>
        <r>
          <rPr>
            <sz val="9"/>
            <color indexed="81"/>
            <rFont val="돋움"/>
            <family val="3"/>
            <charset val="129"/>
          </rPr>
          <t>된</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같다</t>
        </r>
        <r>
          <rPr>
            <sz val="9"/>
            <color indexed="81"/>
            <rFont val="Tahoma"/>
            <family val="2"/>
          </rPr>
          <t>.</t>
        </r>
      </text>
    </comment>
    <comment ref="AX1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Mediastinal GTV</t>
        </r>
        <r>
          <rPr>
            <sz val="9"/>
            <color indexed="81"/>
            <rFont val="돋움"/>
            <family val="3"/>
            <charset val="129"/>
          </rPr>
          <t>에서</t>
        </r>
        <r>
          <rPr>
            <sz val="9"/>
            <color indexed="81"/>
            <rFont val="Tahoma"/>
            <family val="2"/>
          </rPr>
          <t xml:space="preserve"> uniform</t>
        </r>
        <r>
          <rPr>
            <sz val="9"/>
            <color indexed="81"/>
            <rFont val="돋움"/>
            <family val="3"/>
            <charset val="129"/>
          </rPr>
          <t>하게</t>
        </r>
        <r>
          <rPr>
            <sz val="9"/>
            <color indexed="81"/>
            <rFont val="Tahoma"/>
            <family val="2"/>
          </rPr>
          <t xml:space="preserve"> 1cm </t>
        </r>
        <r>
          <rPr>
            <sz val="9"/>
            <color indexed="81"/>
            <rFont val="돋움"/>
            <family val="3"/>
            <charset val="129"/>
          </rPr>
          <t>줘서</t>
        </r>
        <r>
          <rPr>
            <sz val="9"/>
            <color indexed="81"/>
            <rFont val="Tahoma"/>
            <family val="2"/>
          </rPr>
          <t xml:space="preserve"> PTV expansion</t>
        </r>
        <r>
          <rPr>
            <sz val="9"/>
            <color indexed="81"/>
            <rFont val="돋움"/>
            <family val="3"/>
            <charset val="129"/>
          </rPr>
          <t>만</t>
        </r>
        <r>
          <rPr>
            <sz val="9"/>
            <color indexed="81"/>
            <rFont val="Tahoma"/>
            <family val="2"/>
          </rPr>
          <t xml:space="preserve"> </t>
        </r>
        <r>
          <rPr>
            <sz val="9"/>
            <color indexed="81"/>
            <rFont val="돋움"/>
            <family val="3"/>
            <charset val="129"/>
          </rPr>
          <t>시켰고</t>
        </r>
        <r>
          <rPr>
            <sz val="9"/>
            <color indexed="81"/>
            <rFont val="Tahoma"/>
            <family val="2"/>
          </rPr>
          <t>, CTV</t>
        </r>
        <r>
          <rPr>
            <sz val="9"/>
            <color indexed="81"/>
            <rFont val="돋움"/>
            <family val="3"/>
            <charset val="129"/>
          </rPr>
          <t>는</t>
        </r>
        <r>
          <rPr>
            <sz val="9"/>
            <color indexed="81"/>
            <rFont val="Tahoma"/>
            <family val="2"/>
          </rPr>
          <t xml:space="preserve"> </t>
        </r>
        <r>
          <rPr>
            <sz val="9"/>
            <color indexed="81"/>
            <rFont val="돋움"/>
            <family val="3"/>
            <charset val="129"/>
          </rPr>
          <t>따로</t>
        </r>
        <r>
          <rPr>
            <sz val="9"/>
            <color indexed="81"/>
            <rFont val="Tahoma"/>
            <family val="2"/>
          </rPr>
          <t xml:space="preserve"> </t>
        </r>
        <r>
          <rPr>
            <sz val="9"/>
            <color indexed="81"/>
            <rFont val="돋움"/>
            <family val="3"/>
            <charset val="129"/>
          </rPr>
          <t>안둠</t>
        </r>
        <r>
          <rPr>
            <sz val="9"/>
            <color indexed="81"/>
            <rFont val="Tahoma"/>
            <family val="2"/>
          </rPr>
          <t>.</t>
        </r>
      </text>
    </comment>
    <comment ref="AZ1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LF</t>
        </r>
        <r>
          <rPr>
            <sz val="9"/>
            <color indexed="81"/>
            <rFont val="돋움"/>
            <family val="3"/>
            <charset val="129"/>
          </rPr>
          <t>만</t>
        </r>
        <r>
          <rPr>
            <sz val="9"/>
            <color indexed="81"/>
            <rFont val="Tahoma"/>
            <family val="2"/>
          </rPr>
          <t xml:space="preserve"> </t>
        </r>
        <r>
          <rPr>
            <sz val="9"/>
            <color indexed="81"/>
            <rFont val="돋움"/>
            <family val="3"/>
            <charset val="129"/>
          </rPr>
          <t>해당</t>
        </r>
      </text>
    </comment>
    <comment ref="BN1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RF</t>
        </r>
        <r>
          <rPr>
            <sz val="9"/>
            <color indexed="81"/>
            <rFont val="돋움"/>
            <family val="3"/>
            <charset val="129"/>
          </rPr>
          <t>는</t>
        </r>
        <r>
          <rPr>
            <sz val="9"/>
            <color indexed="81"/>
            <rFont val="Tahoma"/>
            <family val="2"/>
          </rPr>
          <t xml:space="preserve"> 3d</t>
        </r>
      </text>
    </comment>
    <comment ref="CE1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Local PD</t>
        </r>
      </text>
    </comment>
    <comment ref="FT1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2016/10/16 CT</t>
        </r>
      </text>
    </comment>
    <comment ref="FW19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2016/10/16 CT</t>
        </r>
      </text>
    </comment>
    <comment ref="AF20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SCL bx</t>
        </r>
        <r>
          <rPr>
            <sz val="9"/>
            <color indexed="81"/>
            <rFont val="돋움"/>
            <family val="3"/>
            <charset val="129"/>
          </rPr>
          <t>가</t>
        </r>
        <r>
          <rPr>
            <sz val="9"/>
            <color indexed="81"/>
            <rFont val="Tahoma"/>
            <family val="2"/>
          </rPr>
          <t xml:space="preserve"> negative</t>
        </r>
        <r>
          <rPr>
            <sz val="9"/>
            <color indexed="81"/>
            <rFont val="돋움"/>
            <family val="3"/>
            <charset val="129"/>
          </rPr>
          <t>였다</t>
        </r>
        <r>
          <rPr>
            <sz val="9"/>
            <color indexed="81"/>
            <rFont val="Tahoma"/>
            <family val="2"/>
          </rPr>
          <t>.</t>
        </r>
      </text>
    </comment>
    <comment ref="AU20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distal 2cm, proximal 4cm (</t>
        </r>
        <r>
          <rPr>
            <sz val="9"/>
            <color indexed="81"/>
            <rFont val="돋움"/>
            <family val="3"/>
            <charset val="129"/>
          </rPr>
          <t>레지던트가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그리다보니</t>
        </r>
        <r>
          <rPr>
            <sz val="9"/>
            <color indexed="81"/>
            <rFont val="Tahoma"/>
            <family val="2"/>
          </rPr>
          <t xml:space="preserve"> </t>
        </r>
        <r>
          <rPr>
            <sz val="9"/>
            <color indexed="81"/>
            <rFont val="돋움"/>
            <family val="3"/>
            <charset val="129"/>
          </rPr>
          <t>이렇게</t>
        </r>
        <r>
          <rPr>
            <sz val="9"/>
            <color indexed="81"/>
            <rFont val="Tahoma"/>
            <family val="2"/>
          </rPr>
          <t xml:space="preserve"> </t>
        </r>
        <r>
          <rPr>
            <sz val="9"/>
            <color indexed="81"/>
            <rFont val="돋움"/>
            <family val="3"/>
            <charset val="129"/>
          </rPr>
          <t>되었는데</t>
        </r>
        <r>
          <rPr>
            <sz val="9"/>
            <color indexed="81"/>
            <rFont val="Tahoma"/>
            <family val="2"/>
          </rPr>
          <t xml:space="preserve"> </t>
        </r>
        <r>
          <rPr>
            <sz val="9"/>
            <color indexed="81"/>
            <rFont val="돋움"/>
            <family val="3"/>
            <charset val="129"/>
          </rPr>
          <t>사실</t>
        </r>
        <r>
          <rPr>
            <sz val="9"/>
            <color indexed="81"/>
            <rFont val="Tahoma"/>
            <family val="2"/>
          </rPr>
          <t xml:space="preserve"> proximal 2cm</t>
        </r>
        <r>
          <rPr>
            <sz val="9"/>
            <color indexed="81"/>
            <rFont val="돋움"/>
            <family val="3"/>
            <charset val="129"/>
          </rPr>
          <t>으로</t>
        </r>
        <r>
          <rPr>
            <sz val="9"/>
            <color indexed="81"/>
            <rFont val="Tahoma"/>
            <family val="2"/>
          </rPr>
          <t xml:space="preserve"> </t>
        </r>
        <r>
          <rPr>
            <sz val="9"/>
            <color indexed="81"/>
            <rFont val="돋움"/>
            <family val="3"/>
            <charset val="129"/>
          </rPr>
          <t>봐도</t>
        </r>
        <r>
          <rPr>
            <sz val="9"/>
            <color indexed="81"/>
            <rFont val="Tahoma"/>
            <family val="2"/>
          </rPr>
          <t xml:space="preserve"> </t>
        </r>
        <r>
          <rPr>
            <sz val="9"/>
            <color indexed="81"/>
            <rFont val="돋움"/>
            <family val="3"/>
            <charset val="129"/>
          </rPr>
          <t>무방할</t>
        </r>
        <r>
          <rPr>
            <sz val="9"/>
            <color indexed="81"/>
            <rFont val="Tahoma"/>
            <family val="2"/>
          </rPr>
          <t xml:space="preserve"> </t>
        </r>
        <r>
          <rPr>
            <sz val="9"/>
            <color indexed="81"/>
            <rFont val="돋움"/>
            <family val="3"/>
            <charset val="129"/>
          </rPr>
          <t>듯</t>
        </r>
        <r>
          <rPr>
            <sz val="9"/>
            <color indexed="81"/>
            <rFont val="Tahoma"/>
            <family val="2"/>
          </rPr>
          <t xml:space="preserve">, elective field </t>
        </r>
        <r>
          <rPr>
            <sz val="9"/>
            <color indexed="81"/>
            <rFont val="돋움"/>
            <family val="3"/>
            <charset val="129"/>
          </rPr>
          <t>때문에</t>
        </r>
        <r>
          <rPr>
            <sz val="9"/>
            <color indexed="81"/>
            <rFont val="Tahoma"/>
            <family val="2"/>
          </rPr>
          <t>.)</t>
        </r>
      </text>
    </comment>
    <comment ref="AV200"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t>
        </r>
        <r>
          <rPr>
            <sz val="9"/>
            <color indexed="81"/>
            <rFont val="돋움"/>
            <family val="3"/>
            <charset val="129"/>
          </rPr>
          <t>라고</t>
        </r>
        <r>
          <rPr>
            <sz val="9"/>
            <color indexed="81"/>
            <rFont val="Tahoma"/>
            <family val="2"/>
          </rPr>
          <t xml:space="preserve"> </t>
        </r>
        <r>
          <rPr>
            <sz val="9"/>
            <color indexed="81"/>
            <rFont val="돋움"/>
            <family val="3"/>
            <charset val="129"/>
          </rPr>
          <t>되어있던데</t>
        </r>
        <r>
          <rPr>
            <sz val="9"/>
            <color indexed="81"/>
            <rFont val="Tahoma"/>
            <family val="2"/>
          </rPr>
          <t xml:space="preserve"> </t>
        </r>
        <r>
          <rPr>
            <sz val="9"/>
            <color indexed="81"/>
            <rFont val="돋움"/>
            <family val="3"/>
            <charset val="129"/>
          </rPr>
          <t>실제</t>
        </r>
        <r>
          <rPr>
            <sz val="9"/>
            <color indexed="81"/>
            <rFont val="Tahoma"/>
            <family val="2"/>
          </rPr>
          <t xml:space="preserve"> target</t>
        </r>
        <r>
          <rPr>
            <sz val="9"/>
            <color indexed="81"/>
            <rFont val="돋움"/>
            <family val="3"/>
            <charset val="129"/>
          </rPr>
          <t>을</t>
        </r>
        <r>
          <rPr>
            <sz val="9"/>
            <color indexed="81"/>
            <rFont val="Tahoma"/>
            <family val="2"/>
          </rPr>
          <t xml:space="preserve"> </t>
        </r>
        <r>
          <rPr>
            <sz val="9"/>
            <color indexed="81"/>
            <rFont val="돋움"/>
            <family val="3"/>
            <charset val="129"/>
          </rPr>
          <t>보면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같다</t>
        </r>
        <r>
          <rPr>
            <sz val="9"/>
            <color indexed="81"/>
            <rFont val="Tahoma"/>
            <family val="2"/>
          </rPr>
          <t>.</t>
        </r>
      </text>
    </comment>
    <comment ref="AF20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SCL</t>
        </r>
      </text>
    </comment>
    <comment ref="AN20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CTV upper margin</t>
        </r>
        <r>
          <rPr>
            <sz val="9"/>
            <color indexed="81"/>
            <rFont val="돋움"/>
            <family val="3"/>
            <charset val="129"/>
          </rPr>
          <t>이</t>
        </r>
        <r>
          <rPr>
            <sz val="9"/>
            <color indexed="81"/>
            <rFont val="Tahoma"/>
            <family val="2"/>
          </rPr>
          <t xml:space="preserve"> GTV</t>
        </r>
        <r>
          <rPr>
            <sz val="9"/>
            <color indexed="81"/>
            <rFont val="돋움"/>
            <family val="3"/>
            <charset val="129"/>
          </rPr>
          <t>보다</t>
        </r>
        <r>
          <rPr>
            <sz val="9"/>
            <color indexed="81"/>
            <rFont val="Tahoma"/>
            <family val="2"/>
          </rPr>
          <t xml:space="preserve"> 4-5cm </t>
        </r>
        <r>
          <rPr>
            <sz val="9"/>
            <color indexed="81"/>
            <rFont val="돋움"/>
            <family val="3"/>
            <charset val="129"/>
          </rPr>
          <t>가량</t>
        </r>
        <r>
          <rPr>
            <sz val="9"/>
            <color indexed="81"/>
            <rFont val="Tahoma"/>
            <family val="2"/>
          </rPr>
          <t xml:space="preserve"> </t>
        </r>
        <r>
          <rPr>
            <sz val="9"/>
            <color indexed="81"/>
            <rFont val="돋움"/>
            <family val="3"/>
            <charset val="129"/>
          </rPr>
          <t>높다</t>
        </r>
        <r>
          <rPr>
            <sz val="9"/>
            <color indexed="81"/>
            <rFont val="Tahoma"/>
            <family val="2"/>
          </rPr>
          <t>. GTV to CTV expansion</t>
        </r>
        <r>
          <rPr>
            <sz val="9"/>
            <color indexed="81"/>
            <rFont val="돋움"/>
            <family val="3"/>
            <charset val="129"/>
          </rPr>
          <t>은</t>
        </r>
        <r>
          <rPr>
            <sz val="9"/>
            <color indexed="81"/>
            <rFont val="Tahoma"/>
            <family val="2"/>
          </rPr>
          <t xml:space="preserve"> 2cm</t>
        </r>
        <r>
          <rPr>
            <sz val="9"/>
            <color indexed="81"/>
            <rFont val="돋움"/>
            <family val="3"/>
            <charset val="129"/>
          </rPr>
          <t>이라고</t>
        </r>
        <r>
          <rPr>
            <sz val="9"/>
            <color indexed="81"/>
            <rFont val="Tahoma"/>
            <family val="2"/>
          </rPr>
          <t xml:space="preserve"> </t>
        </r>
        <r>
          <rPr>
            <sz val="9"/>
            <color indexed="81"/>
            <rFont val="돋움"/>
            <family val="3"/>
            <charset val="129"/>
          </rPr>
          <t>기술되어</t>
        </r>
        <r>
          <rPr>
            <sz val="9"/>
            <color indexed="81"/>
            <rFont val="Tahoma"/>
            <family val="2"/>
          </rPr>
          <t xml:space="preserve"> </t>
        </r>
        <r>
          <rPr>
            <sz val="9"/>
            <color indexed="81"/>
            <rFont val="돋움"/>
            <family val="3"/>
            <charset val="129"/>
          </rPr>
          <t>있고</t>
        </r>
        <r>
          <rPr>
            <sz val="9"/>
            <color indexed="81"/>
            <rFont val="Tahoma"/>
            <family val="2"/>
          </rPr>
          <t>.</t>
        </r>
      </text>
    </comment>
    <comment ref="BG20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abd</t>
        </r>
        <r>
          <rPr>
            <sz val="9"/>
            <color indexed="81"/>
            <rFont val="돋움"/>
            <family val="3"/>
            <charset val="129"/>
          </rPr>
          <t>는</t>
        </r>
        <r>
          <rPr>
            <sz val="9"/>
            <color indexed="81"/>
            <rFont val="Tahoma"/>
            <family val="2"/>
          </rPr>
          <t xml:space="preserve"> 39.6Gy</t>
        </r>
      </text>
    </comment>
    <comment ref="AD20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꽤</t>
        </r>
        <r>
          <rPr>
            <sz val="9"/>
            <color indexed="81"/>
            <rFont val="Tahoma"/>
            <family val="2"/>
          </rPr>
          <t xml:space="preserve"> </t>
        </r>
        <r>
          <rPr>
            <sz val="9"/>
            <color indexed="81"/>
            <rFont val="돋움"/>
            <family val="3"/>
            <charset val="129"/>
          </rPr>
          <t>큰데</t>
        </r>
        <r>
          <rPr>
            <sz val="9"/>
            <color indexed="81"/>
            <rFont val="Tahoma"/>
            <family val="2"/>
          </rPr>
          <t>, vs gastric submucosal tumor</t>
        </r>
        <r>
          <rPr>
            <sz val="9"/>
            <color indexed="81"/>
            <rFont val="돋움"/>
            <family val="3"/>
            <charset val="129"/>
          </rPr>
          <t>일</t>
        </r>
        <r>
          <rPr>
            <sz val="9"/>
            <color indexed="81"/>
            <rFont val="Tahoma"/>
            <family val="2"/>
          </rPr>
          <t xml:space="preserve"> </t>
        </r>
        <r>
          <rPr>
            <sz val="9"/>
            <color indexed="81"/>
            <rFont val="돋움"/>
            <family val="3"/>
            <charset val="129"/>
          </rPr>
          <t>수도</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애매하다</t>
        </r>
        <r>
          <rPr>
            <sz val="9"/>
            <color indexed="81"/>
            <rFont val="Tahoma"/>
            <family val="2"/>
          </rPr>
          <t>.</t>
        </r>
      </text>
    </comment>
    <comment ref="AU20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proximal</t>
        </r>
        <r>
          <rPr>
            <sz val="9"/>
            <color indexed="81"/>
            <rFont val="돋움"/>
            <family val="3"/>
            <charset val="129"/>
          </rPr>
          <t>로는</t>
        </r>
        <r>
          <rPr>
            <sz val="9"/>
            <color indexed="81"/>
            <rFont val="Tahoma"/>
            <family val="2"/>
          </rPr>
          <t xml:space="preserve"> 2cm</t>
        </r>
        <r>
          <rPr>
            <sz val="9"/>
            <color indexed="81"/>
            <rFont val="돋움"/>
            <family val="3"/>
            <charset val="129"/>
          </rPr>
          <t>인데</t>
        </r>
        <r>
          <rPr>
            <sz val="9"/>
            <color indexed="81"/>
            <rFont val="Tahoma"/>
            <family val="2"/>
          </rPr>
          <t xml:space="preserve"> distal 5cm? </t>
        </r>
        <r>
          <rPr>
            <sz val="9"/>
            <color indexed="81"/>
            <rFont val="돋움"/>
            <family val="3"/>
            <charset val="129"/>
          </rPr>
          <t>두</t>
        </r>
        <r>
          <rPr>
            <sz val="9"/>
            <color indexed="81"/>
            <rFont val="Tahoma"/>
            <family val="2"/>
          </rPr>
          <t xml:space="preserve"> </t>
        </r>
        <r>
          <rPr>
            <sz val="9"/>
            <color indexed="81"/>
            <rFont val="돋움"/>
            <family val="3"/>
            <charset val="129"/>
          </rPr>
          <t>개의</t>
        </r>
        <r>
          <rPr>
            <sz val="9"/>
            <color indexed="81"/>
            <rFont val="Tahoma"/>
            <family val="2"/>
          </rPr>
          <t xml:space="preserve"> lesion </t>
        </r>
        <r>
          <rPr>
            <sz val="9"/>
            <color indexed="81"/>
            <rFont val="돋움"/>
            <family val="3"/>
            <charset val="129"/>
          </rPr>
          <t>사이는</t>
        </r>
        <r>
          <rPr>
            <sz val="9"/>
            <color indexed="81"/>
            <rFont val="Tahoma"/>
            <family val="2"/>
          </rPr>
          <t xml:space="preserve"> </t>
        </r>
        <r>
          <rPr>
            <sz val="9"/>
            <color indexed="81"/>
            <rFont val="돋움"/>
            <family val="3"/>
            <charset val="129"/>
          </rPr>
          <t>전체</t>
        </r>
        <r>
          <rPr>
            <sz val="9"/>
            <color indexed="81"/>
            <rFont val="Tahoma"/>
            <family val="2"/>
          </rPr>
          <t xml:space="preserve"> </t>
        </r>
        <r>
          <rPr>
            <sz val="9"/>
            <color indexed="81"/>
            <rFont val="돋움"/>
            <family val="3"/>
            <charset val="129"/>
          </rPr>
          <t>치료를</t>
        </r>
        <r>
          <rPr>
            <sz val="9"/>
            <color indexed="81"/>
            <rFont val="Tahoma"/>
            <family val="2"/>
          </rPr>
          <t xml:space="preserve"> </t>
        </r>
        <r>
          <rPr>
            <sz val="9"/>
            <color indexed="81"/>
            <rFont val="돋움"/>
            <family val="3"/>
            <charset val="129"/>
          </rPr>
          <t>하고</t>
        </r>
        <r>
          <rPr>
            <sz val="9"/>
            <color indexed="81"/>
            <rFont val="Tahoma"/>
            <family val="2"/>
          </rPr>
          <t>, GEJ</t>
        </r>
        <r>
          <rPr>
            <sz val="9"/>
            <color indexed="81"/>
            <rFont val="돋움"/>
            <family val="3"/>
            <charset val="129"/>
          </rPr>
          <t>에서는</t>
        </r>
        <r>
          <rPr>
            <sz val="9"/>
            <color indexed="81"/>
            <rFont val="Tahoma"/>
            <family val="2"/>
          </rPr>
          <t xml:space="preserve"> </t>
        </r>
        <r>
          <rPr>
            <sz val="9"/>
            <color indexed="81"/>
            <rFont val="돋움"/>
            <family val="3"/>
            <charset val="129"/>
          </rPr>
          <t>어차피</t>
        </r>
        <r>
          <rPr>
            <sz val="9"/>
            <color indexed="81"/>
            <rFont val="Tahoma"/>
            <family val="2"/>
          </rPr>
          <t xml:space="preserve"> gastric LN</t>
        </r>
        <r>
          <rPr>
            <sz val="9"/>
            <color indexed="81"/>
            <rFont val="돋움"/>
            <family val="3"/>
            <charset val="129"/>
          </rPr>
          <t>을</t>
        </r>
        <r>
          <rPr>
            <sz val="9"/>
            <color indexed="81"/>
            <rFont val="Tahoma"/>
            <family val="2"/>
          </rPr>
          <t xml:space="preserve"> </t>
        </r>
        <r>
          <rPr>
            <sz val="9"/>
            <color indexed="81"/>
            <rFont val="돋움"/>
            <family val="3"/>
            <charset val="129"/>
          </rPr>
          <t>치료해야하는</t>
        </r>
        <r>
          <rPr>
            <sz val="9"/>
            <color indexed="81"/>
            <rFont val="Tahoma"/>
            <family val="2"/>
          </rPr>
          <t xml:space="preserve"> </t>
        </r>
        <r>
          <rPr>
            <sz val="9"/>
            <color indexed="81"/>
            <rFont val="돋움"/>
            <family val="3"/>
            <charset val="129"/>
          </rPr>
          <t>형편이긴</t>
        </r>
        <r>
          <rPr>
            <sz val="9"/>
            <color indexed="81"/>
            <rFont val="Tahoma"/>
            <family val="2"/>
          </rPr>
          <t xml:space="preserve"> </t>
        </r>
        <r>
          <rPr>
            <sz val="9"/>
            <color indexed="81"/>
            <rFont val="돋움"/>
            <family val="3"/>
            <charset val="129"/>
          </rPr>
          <t>함</t>
        </r>
        <r>
          <rPr>
            <sz val="9"/>
            <color indexed="81"/>
            <rFont val="Tahoma"/>
            <family val="2"/>
          </rPr>
          <t>.</t>
        </r>
      </text>
    </comment>
    <comment ref="CE20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Progression</t>
        </r>
        <r>
          <rPr>
            <sz val="9"/>
            <color indexed="81"/>
            <rFont val="돋움"/>
            <family val="3"/>
            <charset val="129"/>
          </rPr>
          <t>으로</t>
        </r>
        <r>
          <rPr>
            <sz val="9"/>
            <color indexed="81"/>
            <rFont val="Tahoma"/>
            <family val="2"/>
          </rPr>
          <t xml:space="preserve"> </t>
        </r>
        <r>
          <rPr>
            <sz val="9"/>
            <color indexed="81"/>
            <rFont val="돋움"/>
            <family val="3"/>
            <charset val="129"/>
          </rPr>
          <t>수술</t>
        </r>
        <r>
          <rPr>
            <sz val="9"/>
            <color indexed="81"/>
            <rFont val="Tahoma"/>
            <family val="2"/>
          </rPr>
          <t xml:space="preserve"> </t>
        </r>
        <r>
          <rPr>
            <sz val="9"/>
            <color indexed="81"/>
            <rFont val="돋움"/>
            <family val="3"/>
            <charset val="129"/>
          </rPr>
          <t>시행하지</t>
        </r>
        <r>
          <rPr>
            <sz val="9"/>
            <color indexed="81"/>
            <rFont val="Tahoma"/>
            <family val="2"/>
          </rPr>
          <t xml:space="preserve"> </t>
        </r>
        <r>
          <rPr>
            <sz val="9"/>
            <color indexed="81"/>
            <rFont val="돋움"/>
            <family val="3"/>
            <charset val="129"/>
          </rPr>
          <t>못하였다</t>
        </r>
        <r>
          <rPr>
            <sz val="9"/>
            <color indexed="81"/>
            <rFont val="Tahoma"/>
            <family val="2"/>
          </rPr>
          <t>.</t>
        </r>
      </text>
    </comment>
    <comment ref="Y20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adventitia invasion, r/o Lt main bronchus invasion</t>
        </r>
      </text>
    </comment>
    <comment ref="Z20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CT </t>
        </r>
        <r>
          <rPr>
            <sz val="9"/>
            <color indexed="81"/>
            <rFont val="돋움"/>
            <family val="3"/>
            <charset val="129"/>
          </rPr>
          <t>상에서는</t>
        </r>
        <r>
          <rPr>
            <sz val="9"/>
            <color indexed="81"/>
            <rFont val="Tahoma"/>
            <family val="2"/>
          </rPr>
          <t xml:space="preserve"> N2-3 </t>
        </r>
        <r>
          <rPr>
            <sz val="9"/>
            <color indexed="81"/>
            <rFont val="돋움"/>
            <family val="3"/>
            <charset val="129"/>
          </rPr>
          <t>정도로</t>
        </r>
        <r>
          <rPr>
            <sz val="9"/>
            <color indexed="81"/>
            <rFont val="Tahoma"/>
            <family val="2"/>
          </rPr>
          <t xml:space="preserve"> </t>
        </r>
        <r>
          <rPr>
            <sz val="9"/>
            <color indexed="81"/>
            <rFont val="돋움"/>
            <family val="3"/>
            <charset val="129"/>
          </rPr>
          <t>평가를</t>
        </r>
        <r>
          <rPr>
            <sz val="9"/>
            <color indexed="81"/>
            <rFont val="Tahoma"/>
            <family val="2"/>
          </rPr>
          <t xml:space="preserve"> </t>
        </r>
        <r>
          <rPr>
            <sz val="9"/>
            <color indexed="81"/>
            <rFont val="돋움"/>
            <family val="3"/>
            <charset val="129"/>
          </rPr>
          <t>했던</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같은데</t>
        </r>
        <r>
          <rPr>
            <sz val="9"/>
            <color indexed="81"/>
            <rFont val="Tahoma"/>
            <family val="2"/>
          </rPr>
          <t xml:space="preserve">, PET </t>
        </r>
        <r>
          <rPr>
            <sz val="9"/>
            <color indexed="81"/>
            <rFont val="돋움"/>
            <family val="3"/>
            <charset val="129"/>
          </rPr>
          <t>상에서</t>
        </r>
        <r>
          <rPr>
            <sz val="9"/>
            <color indexed="81"/>
            <rFont val="Tahoma"/>
            <family val="2"/>
          </rPr>
          <t xml:space="preserve"> hypermetabolism</t>
        </r>
        <r>
          <rPr>
            <sz val="9"/>
            <color indexed="81"/>
            <rFont val="돋움"/>
            <family val="3"/>
            <charset val="129"/>
          </rPr>
          <t>은</t>
        </r>
        <r>
          <rPr>
            <sz val="9"/>
            <color indexed="81"/>
            <rFont val="Tahoma"/>
            <family val="2"/>
          </rPr>
          <t xml:space="preserve"> 4L</t>
        </r>
        <r>
          <rPr>
            <sz val="9"/>
            <color indexed="81"/>
            <rFont val="돋움"/>
            <family val="3"/>
            <charset val="129"/>
          </rPr>
          <t>에서만</t>
        </r>
        <r>
          <rPr>
            <sz val="9"/>
            <color indexed="81"/>
            <rFont val="Tahoma"/>
            <family val="2"/>
          </rPr>
          <t xml:space="preserve"> </t>
        </r>
        <r>
          <rPr>
            <sz val="9"/>
            <color indexed="81"/>
            <rFont val="돋움"/>
            <family val="3"/>
            <charset val="129"/>
          </rPr>
          <t>있었다</t>
        </r>
        <r>
          <rPr>
            <sz val="9"/>
            <color indexed="81"/>
            <rFont val="Tahoma"/>
            <family val="2"/>
          </rPr>
          <t>.</t>
        </r>
      </text>
    </comment>
    <comment ref="AN20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mediastinum 2cm</t>
        </r>
        <r>
          <rPr>
            <sz val="9"/>
            <color indexed="81"/>
            <rFont val="돋움"/>
            <family val="3"/>
            <charset val="129"/>
          </rPr>
          <t>보다</t>
        </r>
        <r>
          <rPr>
            <sz val="9"/>
            <color indexed="81"/>
            <rFont val="Tahoma"/>
            <family val="2"/>
          </rPr>
          <t xml:space="preserve"> superior </t>
        </r>
        <r>
          <rPr>
            <sz val="9"/>
            <color indexed="81"/>
            <rFont val="돋움"/>
            <family val="3"/>
            <charset val="129"/>
          </rPr>
          <t>방향으로</t>
        </r>
        <r>
          <rPr>
            <sz val="9"/>
            <color indexed="81"/>
            <rFont val="Tahoma"/>
            <family val="2"/>
          </rPr>
          <t xml:space="preserve"> </t>
        </r>
        <r>
          <rPr>
            <sz val="9"/>
            <color indexed="81"/>
            <rFont val="돋움"/>
            <family val="3"/>
            <charset val="129"/>
          </rPr>
          <t>약간</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포함했다</t>
        </r>
        <r>
          <rPr>
            <sz val="9"/>
            <color indexed="81"/>
            <rFont val="Tahoma"/>
            <family val="2"/>
          </rPr>
          <t xml:space="preserve">. </t>
        </r>
        <r>
          <rPr>
            <sz val="9"/>
            <color indexed="81"/>
            <rFont val="돋움"/>
            <family val="3"/>
            <charset val="129"/>
          </rPr>
          <t>애매하긴</t>
        </r>
        <r>
          <rPr>
            <sz val="9"/>
            <color indexed="81"/>
            <rFont val="Tahoma"/>
            <family val="2"/>
          </rPr>
          <t xml:space="preserve"> </t>
        </r>
        <r>
          <rPr>
            <sz val="9"/>
            <color indexed="81"/>
            <rFont val="돋움"/>
            <family val="3"/>
            <charset val="129"/>
          </rPr>
          <t>하다</t>
        </r>
        <r>
          <rPr>
            <sz val="9"/>
            <color indexed="81"/>
            <rFont val="Tahoma"/>
            <family val="2"/>
          </rPr>
          <t>...</t>
        </r>
      </text>
    </comment>
    <comment ref="CE20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patient refusal</t>
        </r>
      </text>
    </comment>
    <comment ref="DQ20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수술은</t>
        </r>
        <r>
          <rPr>
            <sz val="9"/>
            <color indexed="81"/>
            <rFont val="Tahoma"/>
            <family val="2"/>
          </rPr>
          <t xml:space="preserve"> </t>
        </r>
        <r>
          <rPr>
            <sz val="9"/>
            <color indexed="81"/>
            <rFont val="돋움"/>
            <family val="3"/>
            <charset val="129"/>
          </rPr>
          <t>아니니</t>
        </r>
        <r>
          <rPr>
            <sz val="9"/>
            <color indexed="81"/>
            <rFont val="Tahoma"/>
            <family val="2"/>
          </rPr>
          <t xml:space="preserve"> anastomotic failure</t>
        </r>
        <r>
          <rPr>
            <sz val="9"/>
            <color indexed="81"/>
            <rFont val="돋움"/>
            <family val="3"/>
            <charset val="129"/>
          </rPr>
          <t>은</t>
        </r>
        <r>
          <rPr>
            <sz val="9"/>
            <color indexed="81"/>
            <rFont val="Tahoma"/>
            <family val="2"/>
          </rPr>
          <t xml:space="preserve"> </t>
        </r>
        <r>
          <rPr>
            <sz val="9"/>
            <color indexed="81"/>
            <rFont val="돋움"/>
            <family val="3"/>
            <charset val="129"/>
          </rPr>
          <t>아니고</t>
        </r>
        <r>
          <rPr>
            <sz val="9"/>
            <color indexed="81"/>
            <rFont val="Tahoma"/>
            <family val="2"/>
          </rPr>
          <t>, esophagus</t>
        </r>
        <r>
          <rPr>
            <sz val="9"/>
            <color indexed="81"/>
            <rFont val="돋움"/>
            <family val="3"/>
            <charset val="129"/>
          </rPr>
          <t>에</t>
        </r>
        <r>
          <rPr>
            <sz val="9"/>
            <color indexed="81"/>
            <rFont val="Tahoma"/>
            <family val="2"/>
          </rPr>
          <t xml:space="preserve"> </t>
        </r>
        <r>
          <rPr>
            <sz val="9"/>
            <color indexed="81"/>
            <rFont val="돋움"/>
            <family val="3"/>
            <charset val="129"/>
          </rPr>
          <t>또</t>
        </r>
        <r>
          <rPr>
            <sz val="9"/>
            <color indexed="81"/>
            <rFont val="Tahoma"/>
            <family val="2"/>
          </rPr>
          <t xml:space="preserve"> </t>
        </r>
        <r>
          <rPr>
            <sz val="9"/>
            <color indexed="81"/>
            <rFont val="돋움"/>
            <family val="3"/>
            <charset val="129"/>
          </rPr>
          <t>다른</t>
        </r>
        <r>
          <rPr>
            <sz val="9"/>
            <color indexed="81"/>
            <rFont val="Tahoma"/>
            <family val="2"/>
          </rPr>
          <t xml:space="preserve"> mass</t>
        </r>
        <r>
          <rPr>
            <sz val="9"/>
            <color indexed="81"/>
            <rFont val="돋움"/>
            <family val="3"/>
            <charset val="129"/>
          </rPr>
          <t>가</t>
        </r>
        <r>
          <rPr>
            <sz val="9"/>
            <color indexed="81"/>
            <rFont val="Tahoma"/>
            <family val="2"/>
          </rPr>
          <t xml:space="preserve"> </t>
        </r>
        <r>
          <rPr>
            <sz val="9"/>
            <color indexed="81"/>
            <rFont val="돋움"/>
            <family val="3"/>
            <charset val="129"/>
          </rPr>
          <t>생긴</t>
        </r>
        <r>
          <rPr>
            <sz val="9"/>
            <color indexed="81"/>
            <rFont val="Tahoma"/>
            <family val="2"/>
          </rPr>
          <t xml:space="preserve"> case… </t>
        </r>
        <r>
          <rPr>
            <sz val="9"/>
            <color indexed="81"/>
            <rFont val="돋움"/>
            <family val="3"/>
            <charset val="129"/>
          </rPr>
          <t>심지어</t>
        </r>
        <r>
          <rPr>
            <sz val="9"/>
            <color indexed="81"/>
            <rFont val="Tahoma"/>
            <family val="2"/>
          </rPr>
          <t xml:space="preserve"> filed </t>
        </r>
        <r>
          <rPr>
            <sz val="9"/>
            <color indexed="81"/>
            <rFont val="돋움"/>
            <family val="3"/>
            <charset val="129"/>
          </rPr>
          <t>바깥</t>
        </r>
        <r>
          <rPr>
            <sz val="9"/>
            <color indexed="81"/>
            <rFont val="Tahoma"/>
            <family val="2"/>
          </rPr>
          <t>.</t>
        </r>
      </text>
    </comment>
    <comment ref="FT20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흉부외과</t>
        </r>
        <r>
          <rPr>
            <sz val="9"/>
            <color indexed="81"/>
            <rFont val="Tahoma"/>
            <family val="2"/>
          </rPr>
          <t xml:space="preserve"> </t>
        </r>
        <r>
          <rPr>
            <sz val="9"/>
            <color indexed="81"/>
            <rFont val="돋움"/>
            <family val="3"/>
            <charset val="129"/>
          </rPr>
          <t>외래의</t>
        </r>
        <r>
          <rPr>
            <sz val="9"/>
            <color indexed="81"/>
            <rFont val="Tahoma"/>
            <family val="2"/>
          </rPr>
          <t xml:space="preserve"> odynophagia(+) </t>
        </r>
        <r>
          <rPr>
            <sz val="9"/>
            <color indexed="81"/>
            <rFont val="돋움"/>
            <family val="3"/>
            <charset val="129"/>
          </rPr>
          <t>기록은</t>
        </r>
        <r>
          <rPr>
            <sz val="9"/>
            <color indexed="81"/>
            <rFont val="Tahoma"/>
            <family val="2"/>
          </rPr>
          <t xml:space="preserve"> </t>
        </r>
        <r>
          <rPr>
            <sz val="9"/>
            <color indexed="81"/>
            <rFont val="돋움"/>
            <family val="3"/>
            <charset val="129"/>
          </rPr>
          <t>계속</t>
        </r>
        <r>
          <rPr>
            <sz val="9"/>
            <color indexed="81"/>
            <rFont val="Tahoma"/>
            <family val="2"/>
          </rPr>
          <t xml:space="preserve"> C&amp;V </t>
        </r>
        <r>
          <rPr>
            <sz val="9"/>
            <color indexed="81"/>
            <rFont val="돋움"/>
            <family val="3"/>
            <charset val="129"/>
          </rPr>
          <t>하다가</t>
        </r>
        <r>
          <rPr>
            <sz val="9"/>
            <color indexed="81"/>
            <rFont val="Tahoma"/>
            <family val="2"/>
          </rPr>
          <t xml:space="preserve"> </t>
        </r>
        <r>
          <rPr>
            <sz val="9"/>
            <color indexed="81"/>
            <rFont val="돋움"/>
            <family val="3"/>
            <charset val="129"/>
          </rPr>
          <t>생긴</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같아서</t>
        </r>
        <r>
          <rPr>
            <sz val="9"/>
            <color indexed="81"/>
            <rFont val="Tahoma"/>
            <family val="2"/>
          </rPr>
          <t xml:space="preserve"> </t>
        </r>
        <r>
          <rPr>
            <sz val="9"/>
            <color indexed="81"/>
            <rFont val="돋움"/>
            <family val="3"/>
            <charset val="129"/>
          </rPr>
          <t>정확히</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의미인지</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모르겠다</t>
        </r>
        <r>
          <rPr>
            <sz val="9"/>
            <color indexed="81"/>
            <rFont val="Tahoma"/>
            <family val="2"/>
          </rPr>
          <t>.</t>
        </r>
      </text>
    </comment>
    <comment ref="FX20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field</t>
        </r>
        <r>
          <rPr>
            <sz val="9"/>
            <color indexed="81"/>
            <rFont val="돋움"/>
            <family val="3"/>
            <charset val="129"/>
          </rPr>
          <t>가</t>
        </r>
        <r>
          <rPr>
            <sz val="9"/>
            <color indexed="81"/>
            <rFont val="Tahoma"/>
            <family val="2"/>
          </rPr>
          <t xml:space="preserve"> </t>
        </r>
        <r>
          <rPr>
            <sz val="9"/>
            <color indexed="81"/>
            <rFont val="돋움"/>
            <family val="3"/>
            <charset val="129"/>
          </rPr>
          <t>크게</t>
        </r>
        <r>
          <rPr>
            <sz val="9"/>
            <color indexed="81"/>
            <rFont val="Tahoma"/>
            <family val="2"/>
          </rPr>
          <t xml:space="preserve"> </t>
        </r>
        <r>
          <rPr>
            <sz val="9"/>
            <color indexed="81"/>
            <rFont val="돋움"/>
            <family val="3"/>
            <charset val="129"/>
          </rPr>
          <t>겹치는</t>
        </r>
        <r>
          <rPr>
            <sz val="9"/>
            <color indexed="81"/>
            <rFont val="Tahoma"/>
            <family val="2"/>
          </rPr>
          <t xml:space="preserve"> </t>
        </r>
        <r>
          <rPr>
            <sz val="9"/>
            <color indexed="81"/>
            <rFont val="돋움"/>
            <family val="3"/>
            <charset val="129"/>
          </rPr>
          <t>상황은</t>
        </r>
        <r>
          <rPr>
            <sz val="9"/>
            <color indexed="81"/>
            <rFont val="Tahoma"/>
            <family val="2"/>
          </rPr>
          <t xml:space="preserve"> </t>
        </r>
        <r>
          <rPr>
            <sz val="9"/>
            <color indexed="81"/>
            <rFont val="돋움"/>
            <family val="3"/>
            <charset val="129"/>
          </rPr>
          <t>아니나</t>
        </r>
        <r>
          <rPr>
            <sz val="9"/>
            <color indexed="81"/>
            <rFont val="Tahoma"/>
            <family val="2"/>
          </rPr>
          <t xml:space="preserve"> </t>
        </r>
        <r>
          <rPr>
            <sz val="9"/>
            <color indexed="81"/>
            <rFont val="돋움"/>
            <family val="3"/>
            <charset val="129"/>
          </rPr>
          <t>어쨌든</t>
        </r>
        <r>
          <rPr>
            <sz val="9"/>
            <color indexed="81"/>
            <rFont val="Tahoma"/>
            <family val="2"/>
          </rPr>
          <t xml:space="preserve"> esophagus locoregional recurrence</t>
        </r>
        <r>
          <rPr>
            <sz val="9"/>
            <color indexed="81"/>
            <rFont val="돋움"/>
            <family val="3"/>
            <charset val="129"/>
          </rPr>
          <t>에</t>
        </r>
        <r>
          <rPr>
            <sz val="9"/>
            <color indexed="81"/>
            <rFont val="Tahoma"/>
            <family val="2"/>
          </rPr>
          <t xml:space="preserve"> </t>
        </r>
        <r>
          <rPr>
            <sz val="9"/>
            <color indexed="81"/>
            <rFont val="돋움"/>
            <family val="3"/>
            <charset val="129"/>
          </rPr>
          <t>대해서</t>
        </r>
        <r>
          <rPr>
            <sz val="9"/>
            <color indexed="81"/>
            <rFont val="Tahoma"/>
            <family val="2"/>
          </rPr>
          <t xml:space="preserve"> RT </t>
        </r>
        <r>
          <rPr>
            <sz val="9"/>
            <color indexed="81"/>
            <rFont val="돋움"/>
            <family val="3"/>
            <charset val="129"/>
          </rPr>
          <t>치료를</t>
        </r>
        <r>
          <rPr>
            <sz val="9"/>
            <color indexed="81"/>
            <rFont val="Tahoma"/>
            <family val="2"/>
          </rPr>
          <t xml:space="preserve"> 3</t>
        </r>
        <r>
          <rPr>
            <sz val="9"/>
            <color indexed="81"/>
            <rFont val="돋움"/>
            <family val="3"/>
            <charset val="129"/>
          </rPr>
          <t>번</t>
        </r>
        <r>
          <rPr>
            <sz val="9"/>
            <color indexed="81"/>
            <rFont val="Tahoma"/>
            <family val="2"/>
          </rPr>
          <t xml:space="preserve"> </t>
        </r>
        <r>
          <rPr>
            <sz val="9"/>
            <color indexed="81"/>
            <rFont val="돋움"/>
            <family val="3"/>
            <charset val="129"/>
          </rPr>
          <t>실시한</t>
        </r>
        <r>
          <rPr>
            <sz val="9"/>
            <color indexed="81"/>
            <rFont val="Tahoma"/>
            <family val="2"/>
          </rPr>
          <t xml:space="preserve"> </t>
        </r>
        <r>
          <rPr>
            <sz val="9"/>
            <color indexed="81"/>
            <rFont val="돋움"/>
            <family val="3"/>
            <charset val="129"/>
          </rPr>
          <t>경우</t>
        </r>
        <r>
          <rPr>
            <sz val="9"/>
            <color indexed="81"/>
            <rFont val="Tahoma"/>
            <family val="2"/>
          </rPr>
          <t>,</t>
        </r>
      </text>
    </comment>
    <comment ref="N20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누락</t>
        </r>
      </text>
    </comment>
    <comment ref="AF2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'portocaval'</t>
        </r>
        <r>
          <rPr>
            <sz val="9"/>
            <color indexed="81"/>
            <rFont val="돋움"/>
            <family val="3"/>
            <charset val="129"/>
          </rPr>
          <t>로</t>
        </r>
        <r>
          <rPr>
            <sz val="9"/>
            <color indexed="81"/>
            <rFont val="Tahoma"/>
            <family val="2"/>
          </rPr>
          <t xml:space="preserve"> </t>
        </r>
        <r>
          <rPr>
            <sz val="9"/>
            <color indexed="81"/>
            <rFont val="돋움"/>
            <family val="3"/>
            <charset val="129"/>
          </rPr>
          <t>언급된</t>
        </r>
        <r>
          <rPr>
            <sz val="9"/>
            <color indexed="81"/>
            <rFont val="Tahoma"/>
            <family val="2"/>
          </rPr>
          <t xml:space="preserve"> lymph node</t>
        </r>
        <r>
          <rPr>
            <sz val="9"/>
            <color indexed="81"/>
            <rFont val="돋움"/>
            <family val="3"/>
            <charset val="129"/>
          </rPr>
          <t>는</t>
        </r>
        <r>
          <rPr>
            <sz val="9"/>
            <color indexed="81"/>
            <rFont val="Tahoma"/>
            <family val="2"/>
          </rPr>
          <t xml:space="preserve"> common hepatic LN </t>
        </r>
        <r>
          <rPr>
            <sz val="9"/>
            <color indexed="81"/>
            <rFont val="돋움"/>
            <family val="3"/>
            <charset val="129"/>
          </rPr>
          <t>인근에</t>
        </r>
        <r>
          <rPr>
            <sz val="9"/>
            <color indexed="81"/>
            <rFont val="Tahoma"/>
            <family val="2"/>
          </rPr>
          <t xml:space="preserve"> </t>
        </r>
        <r>
          <rPr>
            <sz val="9"/>
            <color indexed="81"/>
            <rFont val="돋움"/>
            <family val="3"/>
            <charset val="129"/>
          </rPr>
          <t>있어</t>
        </r>
        <r>
          <rPr>
            <sz val="9"/>
            <color indexed="81"/>
            <rFont val="Tahoma"/>
            <family val="2"/>
          </rPr>
          <t xml:space="preserve"> regional</t>
        </r>
        <r>
          <rPr>
            <sz val="9"/>
            <color indexed="81"/>
            <rFont val="돋움"/>
            <family val="3"/>
            <charset val="129"/>
          </rPr>
          <t>로</t>
        </r>
        <r>
          <rPr>
            <sz val="9"/>
            <color indexed="81"/>
            <rFont val="Tahoma"/>
            <family val="2"/>
          </rPr>
          <t xml:space="preserve"> </t>
        </r>
        <r>
          <rPr>
            <sz val="9"/>
            <color indexed="81"/>
            <rFont val="돋움"/>
            <family val="3"/>
            <charset val="129"/>
          </rPr>
          <t>볼</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t>
        </r>
      </text>
    </comment>
    <comment ref="AN2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carina </t>
        </r>
        <r>
          <rPr>
            <sz val="9"/>
            <color indexed="81"/>
            <rFont val="돋움"/>
            <family val="3"/>
            <charset val="129"/>
          </rPr>
          <t>아래</t>
        </r>
        <r>
          <rPr>
            <sz val="9"/>
            <color indexed="81"/>
            <rFont val="Tahoma"/>
            <family val="2"/>
          </rPr>
          <t xml:space="preserve"> lower mediastinum</t>
        </r>
        <r>
          <rPr>
            <sz val="9"/>
            <color indexed="81"/>
            <rFont val="돋움"/>
            <family val="3"/>
            <charset val="129"/>
          </rPr>
          <t>을</t>
        </r>
        <r>
          <rPr>
            <sz val="9"/>
            <color indexed="81"/>
            <rFont val="Tahoma"/>
            <family val="2"/>
          </rPr>
          <t xml:space="preserve"> </t>
        </r>
        <r>
          <rPr>
            <sz val="9"/>
            <color indexed="81"/>
            <rFont val="돋움"/>
            <family val="3"/>
            <charset val="129"/>
          </rPr>
          <t>포함함</t>
        </r>
      </text>
    </comment>
    <comment ref="AU2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superior 2, inferior 1.5cm</t>
        </r>
      </text>
    </comment>
    <comment ref="CE2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Progressive disease</t>
        </r>
        <r>
          <rPr>
            <sz val="9"/>
            <color indexed="81"/>
            <rFont val="돋움"/>
            <family val="3"/>
            <charset val="129"/>
          </rPr>
          <t>로</t>
        </r>
        <r>
          <rPr>
            <sz val="9"/>
            <color indexed="81"/>
            <rFont val="Tahoma"/>
            <family val="2"/>
          </rPr>
          <t xml:space="preserve"> </t>
        </r>
        <r>
          <rPr>
            <sz val="9"/>
            <color indexed="81"/>
            <rFont val="돋움"/>
            <family val="3"/>
            <charset val="129"/>
          </rPr>
          <t>수술하지</t>
        </r>
        <r>
          <rPr>
            <sz val="9"/>
            <color indexed="81"/>
            <rFont val="Tahoma"/>
            <family val="2"/>
          </rPr>
          <t xml:space="preserve"> </t>
        </r>
        <r>
          <rPr>
            <sz val="9"/>
            <color indexed="81"/>
            <rFont val="돋움"/>
            <family val="3"/>
            <charset val="129"/>
          </rPr>
          <t>못함</t>
        </r>
        <r>
          <rPr>
            <sz val="9"/>
            <color indexed="81"/>
            <rFont val="Tahoma"/>
            <family val="2"/>
          </rPr>
          <t>.</t>
        </r>
      </text>
    </comment>
    <comment ref="DU2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2016/8/20</t>
        </r>
      </text>
    </comment>
    <comment ref="DV2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2016-02-12</t>
        </r>
      </text>
    </comment>
    <comment ref="FS21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2016/1/27 </t>
        </r>
        <r>
          <rPr>
            <sz val="9"/>
            <color indexed="81"/>
            <rFont val="돋움"/>
            <family val="3"/>
            <charset val="129"/>
          </rPr>
          <t>내과기록</t>
        </r>
        <r>
          <rPr>
            <sz val="9"/>
            <color indexed="81"/>
            <rFont val="Tahoma"/>
            <family val="2"/>
          </rPr>
          <t xml:space="preserve">, </t>
        </r>
        <r>
          <rPr>
            <sz val="9"/>
            <color indexed="81"/>
            <rFont val="돋움"/>
            <family val="3"/>
            <charset val="129"/>
          </rPr>
          <t>다만</t>
        </r>
        <r>
          <rPr>
            <sz val="9"/>
            <color indexed="81"/>
            <rFont val="Tahoma"/>
            <family val="2"/>
          </rPr>
          <t xml:space="preserve"> CCRT </t>
        </r>
        <r>
          <rPr>
            <sz val="9"/>
            <color indexed="81"/>
            <rFont val="돋움"/>
            <family val="3"/>
            <charset val="129"/>
          </rPr>
          <t>직후</t>
        </r>
        <r>
          <rPr>
            <sz val="9"/>
            <color indexed="81"/>
            <rFont val="Tahoma"/>
            <family val="2"/>
          </rPr>
          <t xml:space="preserve"> f/u</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치료</t>
        </r>
        <r>
          <rPr>
            <sz val="9"/>
            <color indexed="81"/>
            <rFont val="Tahoma"/>
            <family val="2"/>
          </rPr>
          <t xml:space="preserve"> </t>
        </r>
        <r>
          <rPr>
            <sz val="9"/>
            <color indexed="81"/>
            <rFont val="돋움"/>
            <family val="3"/>
            <charset val="129"/>
          </rPr>
          <t>중에</t>
        </r>
        <r>
          <rPr>
            <sz val="9"/>
            <color indexed="81"/>
            <rFont val="Tahoma"/>
            <family val="2"/>
          </rPr>
          <t xml:space="preserve"> </t>
        </r>
        <r>
          <rPr>
            <sz val="9"/>
            <color indexed="81"/>
            <rFont val="돋움"/>
            <family val="3"/>
            <charset val="129"/>
          </rPr>
          <t>나타난</t>
        </r>
        <r>
          <rPr>
            <sz val="9"/>
            <color indexed="81"/>
            <rFont val="Tahoma"/>
            <family val="2"/>
          </rPr>
          <t xml:space="preserve"> </t>
        </r>
        <r>
          <rPr>
            <sz val="9"/>
            <color indexed="81"/>
            <rFont val="돋움"/>
            <family val="3"/>
            <charset val="129"/>
          </rPr>
          <t>증상으로</t>
        </r>
        <r>
          <rPr>
            <sz val="9"/>
            <color indexed="81"/>
            <rFont val="Tahoma"/>
            <family val="2"/>
          </rPr>
          <t xml:space="preserve"> </t>
        </r>
        <r>
          <rPr>
            <sz val="9"/>
            <color indexed="81"/>
            <rFont val="돋움"/>
            <family val="3"/>
            <charset val="129"/>
          </rPr>
          <t>보이고</t>
        </r>
        <r>
          <rPr>
            <sz val="9"/>
            <color indexed="81"/>
            <rFont val="Tahoma"/>
            <family val="2"/>
          </rPr>
          <t xml:space="preserve"> </t>
        </r>
        <r>
          <rPr>
            <sz val="9"/>
            <color indexed="81"/>
            <rFont val="돋움"/>
            <family val="3"/>
            <charset val="129"/>
          </rPr>
          <t>악화라고</t>
        </r>
        <r>
          <rPr>
            <sz val="9"/>
            <color indexed="81"/>
            <rFont val="Tahoma"/>
            <family val="2"/>
          </rPr>
          <t xml:space="preserve"> </t>
        </r>
        <r>
          <rPr>
            <sz val="9"/>
            <color indexed="81"/>
            <rFont val="돋움"/>
            <family val="3"/>
            <charset val="129"/>
          </rPr>
          <t>볼</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있는지는</t>
        </r>
        <r>
          <rPr>
            <sz val="9"/>
            <color indexed="81"/>
            <rFont val="Tahoma"/>
            <family val="2"/>
          </rPr>
          <t>.</t>
        </r>
      </text>
    </comment>
    <comment ref="Z21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세</t>
        </r>
        <r>
          <rPr>
            <sz val="9"/>
            <color indexed="81"/>
            <rFont val="Tahoma"/>
            <family val="2"/>
          </rPr>
          <t xml:space="preserve"> </t>
        </r>
        <r>
          <rPr>
            <sz val="9"/>
            <color indexed="81"/>
            <rFont val="돋움"/>
            <family val="3"/>
            <charset val="129"/>
          </rPr>
          <t>군데</t>
        </r>
        <r>
          <rPr>
            <sz val="9"/>
            <color indexed="81"/>
            <rFont val="Tahoma"/>
            <family val="2"/>
          </rPr>
          <t xml:space="preserve"> </t>
        </r>
        <r>
          <rPr>
            <sz val="9"/>
            <color indexed="81"/>
            <rFont val="돋움"/>
            <family val="3"/>
            <charset val="129"/>
          </rPr>
          <t>잡히는데</t>
        </r>
        <r>
          <rPr>
            <sz val="9"/>
            <color indexed="81"/>
            <rFont val="Tahoma"/>
            <family val="2"/>
          </rPr>
          <t>...</t>
        </r>
      </text>
    </comment>
    <comment ref="AU21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GEJ </t>
        </r>
        <r>
          <rPr>
            <sz val="9"/>
            <color indexed="81"/>
            <rFont val="돋움"/>
            <family val="3"/>
            <charset val="129"/>
          </rPr>
          <t>가까워서</t>
        </r>
        <r>
          <rPr>
            <sz val="9"/>
            <color indexed="81"/>
            <rFont val="Tahoma"/>
            <family val="2"/>
          </rPr>
          <t xml:space="preserve"> inf</t>
        </r>
        <r>
          <rPr>
            <sz val="9"/>
            <color indexed="81"/>
            <rFont val="돋움"/>
            <family val="3"/>
            <charset val="129"/>
          </rPr>
          <t>가</t>
        </r>
        <r>
          <rPr>
            <sz val="9"/>
            <color indexed="81"/>
            <rFont val="Tahoma"/>
            <family val="2"/>
          </rPr>
          <t xml:space="preserve"> 0.5</t>
        </r>
        <r>
          <rPr>
            <sz val="9"/>
            <color indexed="81"/>
            <rFont val="돋움"/>
            <family val="3"/>
            <charset val="129"/>
          </rPr>
          <t>인듯</t>
        </r>
      </text>
    </comment>
    <comment ref="BU21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week #1, 3</t>
        </r>
        <r>
          <rPr>
            <sz val="9"/>
            <color indexed="81"/>
            <rFont val="돋움"/>
            <family val="3"/>
            <charset val="129"/>
          </rPr>
          <t>만</t>
        </r>
        <r>
          <rPr>
            <sz val="9"/>
            <color indexed="81"/>
            <rFont val="Tahoma"/>
            <family val="2"/>
          </rPr>
          <t xml:space="preserve"> </t>
        </r>
        <r>
          <rPr>
            <sz val="9"/>
            <color indexed="81"/>
            <rFont val="돋움"/>
            <family val="3"/>
            <charset val="129"/>
          </rPr>
          <t>시행했다</t>
        </r>
        <r>
          <rPr>
            <sz val="9"/>
            <color indexed="81"/>
            <rFont val="Tahoma"/>
            <family val="2"/>
          </rPr>
          <t>.</t>
        </r>
      </text>
    </comment>
    <comment ref="FU21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수술</t>
        </r>
        <r>
          <rPr>
            <sz val="9"/>
            <color indexed="81"/>
            <rFont val="Tahoma"/>
            <family val="2"/>
          </rPr>
          <t xml:space="preserve"> </t>
        </r>
        <r>
          <rPr>
            <sz val="9"/>
            <color indexed="81"/>
            <rFont val="돋움"/>
            <family val="3"/>
            <charset val="129"/>
          </rPr>
          <t>못한</t>
        </r>
        <r>
          <rPr>
            <sz val="9"/>
            <color indexed="81"/>
            <rFont val="Tahoma"/>
            <family val="2"/>
          </rPr>
          <t xml:space="preserve"> </t>
        </r>
        <r>
          <rPr>
            <sz val="9"/>
            <color indexed="81"/>
            <rFont val="돋움"/>
            <family val="3"/>
            <charset val="129"/>
          </rPr>
          <t>상태에서</t>
        </r>
        <r>
          <rPr>
            <sz val="9"/>
            <color indexed="81"/>
            <rFont val="Tahoma"/>
            <family val="2"/>
          </rPr>
          <t xml:space="preserve"> esophageal stricture </t>
        </r>
        <r>
          <rPr>
            <sz val="9"/>
            <color indexed="81"/>
            <rFont val="돋움"/>
            <family val="3"/>
            <charset val="129"/>
          </rPr>
          <t>잔존한</t>
        </r>
        <r>
          <rPr>
            <sz val="9"/>
            <color indexed="81"/>
            <rFont val="Tahoma"/>
            <family val="2"/>
          </rPr>
          <t xml:space="preserve"> </t>
        </r>
        <r>
          <rPr>
            <sz val="9"/>
            <color indexed="81"/>
            <rFont val="돋움"/>
            <family val="3"/>
            <charset val="129"/>
          </rPr>
          <t>상황이었음</t>
        </r>
        <r>
          <rPr>
            <sz val="9"/>
            <color indexed="81"/>
            <rFont val="Tahoma"/>
            <family val="2"/>
          </rPr>
          <t>.</t>
        </r>
      </text>
    </comment>
    <comment ref="AZ21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primary: 0.7-1.0
LN: 0.7</t>
        </r>
      </text>
    </comment>
    <comment ref="CE21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PD</t>
        </r>
        <r>
          <rPr>
            <sz val="9"/>
            <color indexed="81"/>
            <rFont val="돋움"/>
            <family val="3"/>
            <charset val="129"/>
          </rPr>
          <t>로</t>
        </r>
        <r>
          <rPr>
            <sz val="9"/>
            <color indexed="81"/>
            <rFont val="Tahoma"/>
            <family val="2"/>
          </rPr>
          <t xml:space="preserve"> </t>
        </r>
        <r>
          <rPr>
            <sz val="9"/>
            <color indexed="81"/>
            <rFont val="돋움"/>
            <family val="3"/>
            <charset val="129"/>
          </rPr>
          <t>수술하지</t>
        </r>
        <r>
          <rPr>
            <sz val="9"/>
            <color indexed="81"/>
            <rFont val="Tahoma"/>
            <family val="2"/>
          </rPr>
          <t xml:space="preserve"> </t>
        </r>
        <r>
          <rPr>
            <sz val="9"/>
            <color indexed="81"/>
            <rFont val="돋움"/>
            <family val="3"/>
            <charset val="129"/>
          </rPr>
          <t>못하고</t>
        </r>
        <r>
          <rPr>
            <sz val="9"/>
            <color indexed="81"/>
            <rFont val="Tahoma"/>
            <family val="2"/>
          </rPr>
          <t xml:space="preserve"> RT </t>
        </r>
        <r>
          <rPr>
            <sz val="9"/>
            <color indexed="81"/>
            <rFont val="돋움"/>
            <family val="3"/>
            <charset val="129"/>
          </rPr>
          <t>추가로</t>
        </r>
        <r>
          <rPr>
            <sz val="9"/>
            <color indexed="81"/>
            <rFont val="Tahoma"/>
            <family val="2"/>
          </rPr>
          <t xml:space="preserve"> </t>
        </r>
        <r>
          <rPr>
            <sz val="9"/>
            <color indexed="81"/>
            <rFont val="돋움"/>
            <family val="3"/>
            <charset val="129"/>
          </rPr>
          <t>시행함</t>
        </r>
        <r>
          <rPr>
            <sz val="9"/>
            <color indexed="81"/>
            <rFont val="Tahoma"/>
            <family val="2"/>
          </rPr>
          <t>.</t>
        </r>
      </text>
    </comment>
    <comment ref="P21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본원</t>
        </r>
        <r>
          <rPr>
            <sz val="9"/>
            <color indexed="81"/>
            <rFont val="Tahoma"/>
            <family val="2"/>
          </rPr>
          <t xml:space="preserve"> </t>
        </r>
        <r>
          <rPr>
            <sz val="9"/>
            <color indexed="81"/>
            <rFont val="돋움"/>
            <family val="3"/>
            <charset val="129"/>
          </rPr>
          <t>생검</t>
        </r>
        <r>
          <rPr>
            <sz val="9"/>
            <color indexed="81"/>
            <rFont val="Tahoma"/>
            <family val="2"/>
          </rPr>
          <t xml:space="preserve"> </t>
        </r>
        <r>
          <rPr>
            <sz val="9"/>
            <color indexed="81"/>
            <rFont val="돋움"/>
            <family val="3"/>
            <charset val="129"/>
          </rPr>
          <t>조직이</t>
        </r>
        <r>
          <rPr>
            <sz val="9"/>
            <color indexed="81"/>
            <rFont val="Tahoma"/>
            <family val="2"/>
          </rPr>
          <t xml:space="preserve"> stromal invasion</t>
        </r>
        <r>
          <rPr>
            <sz val="9"/>
            <color indexed="81"/>
            <rFont val="돋움"/>
            <family val="3"/>
            <charset val="129"/>
          </rPr>
          <t>이</t>
        </r>
        <r>
          <rPr>
            <sz val="9"/>
            <color indexed="81"/>
            <rFont val="Tahoma"/>
            <family val="2"/>
          </rPr>
          <t xml:space="preserve"> </t>
        </r>
        <r>
          <rPr>
            <sz val="9"/>
            <color indexed="81"/>
            <rFont val="돋움"/>
            <family val="3"/>
            <charset val="129"/>
          </rPr>
          <t>명확하지</t>
        </r>
        <r>
          <rPr>
            <sz val="9"/>
            <color indexed="81"/>
            <rFont val="Tahoma"/>
            <family val="2"/>
          </rPr>
          <t xml:space="preserve"> </t>
        </r>
        <r>
          <rPr>
            <sz val="9"/>
            <color indexed="81"/>
            <rFont val="돋움"/>
            <family val="3"/>
            <charset val="129"/>
          </rPr>
          <t>않다는</t>
        </r>
        <r>
          <rPr>
            <sz val="9"/>
            <color indexed="81"/>
            <rFont val="Tahoma"/>
            <family val="2"/>
          </rPr>
          <t xml:space="preserve"> comment</t>
        </r>
      </text>
    </comment>
    <comment ref="Z21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abd LN</t>
        </r>
        <r>
          <rPr>
            <sz val="9"/>
            <color indexed="81"/>
            <rFont val="돋움"/>
            <family val="3"/>
            <charset val="129"/>
          </rPr>
          <t>인데</t>
        </r>
        <r>
          <rPr>
            <sz val="9"/>
            <color indexed="81"/>
            <rFont val="Tahoma"/>
            <family val="2"/>
          </rPr>
          <t xml:space="preserve"> PET </t>
        </r>
        <r>
          <rPr>
            <sz val="9"/>
            <color indexed="81"/>
            <rFont val="돋움"/>
            <family val="3"/>
            <charset val="129"/>
          </rPr>
          <t>상에서는</t>
        </r>
        <r>
          <rPr>
            <sz val="9"/>
            <color indexed="81"/>
            <rFont val="Tahoma"/>
            <family val="2"/>
          </rPr>
          <t xml:space="preserve"> second primary</t>
        </r>
        <r>
          <rPr>
            <sz val="9"/>
            <color indexed="81"/>
            <rFont val="돋움"/>
            <family val="3"/>
            <charset val="129"/>
          </rPr>
          <t>의</t>
        </r>
        <r>
          <rPr>
            <sz val="9"/>
            <color indexed="81"/>
            <rFont val="Tahoma"/>
            <family val="2"/>
          </rPr>
          <t xml:space="preserve"> </t>
        </r>
        <r>
          <rPr>
            <sz val="9"/>
            <color indexed="81"/>
            <rFont val="돋움"/>
            <family val="3"/>
            <charset val="129"/>
          </rPr>
          <t>가능성도</t>
        </r>
        <r>
          <rPr>
            <sz val="9"/>
            <color indexed="81"/>
            <rFont val="Tahoma"/>
            <family val="2"/>
          </rPr>
          <t xml:space="preserve"> </t>
        </r>
        <r>
          <rPr>
            <sz val="9"/>
            <color indexed="81"/>
            <rFont val="돋움"/>
            <family val="3"/>
            <charset val="129"/>
          </rPr>
          <t>염두에</t>
        </r>
        <r>
          <rPr>
            <sz val="9"/>
            <color indexed="81"/>
            <rFont val="Tahoma"/>
            <family val="2"/>
          </rPr>
          <t xml:space="preserve"> </t>
        </r>
        <r>
          <rPr>
            <sz val="9"/>
            <color indexed="81"/>
            <rFont val="돋움"/>
            <family val="3"/>
            <charset val="129"/>
          </rPr>
          <t>두었던</t>
        </r>
        <r>
          <rPr>
            <sz val="9"/>
            <color indexed="81"/>
            <rFont val="Tahoma"/>
            <family val="2"/>
          </rPr>
          <t xml:space="preserve"> </t>
        </r>
        <r>
          <rPr>
            <sz val="9"/>
            <color indexed="81"/>
            <rFont val="돋움"/>
            <family val="3"/>
            <charset val="129"/>
          </rPr>
          <t>것으로</t>
        </r>
        <r>
          <rPr>
            <sz val="9"/>
            <color indexed="81"/>
            <rFont val="Tahoma"/>
            <family val="2"/>
          </rPr>
          <t>.</t>
        </r>
      </text>
    </comment>
    <comment ref="P21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언급</t>
        </r>
        <r>
          <rPr>
            <sz val="9"/>
            <color indexed="81"/>
            <rFont val="Tahoma"/>
            <family val="2"/>
          </rPr>
          <t xml:space="preserve"> </t>
        </r>
        <r>
          <rPr>
            <sz val="9"/>
            <color indexed="81"/>
            <rFont val="돋움"/>
            <family val="3"/>
            <charset val="129"/>
          </rPr>
          <t>없음</t>
        </r>
      </text>
    </comment>
    <comment ref="P218"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bx </t>
        </r>
        <r>
          <rPr>
            <sz val="9"/>
            <color indexed="81"/>
            <rFont val="돋움"/>
            <family val="3"/>
            <charset val="129"/>
          </rPr>
          <t>검체에는</t>
        </r>
        <r>
          <rPr>
            <sz val="9"/>
            <color indexed="81"/>
            <rFont val="Tahoma"/>
            <family val="2"/>
          </rPr>
          <t xml:space="preserve"> </t>
        </r>
        <r>
          <rPr>
            <sz val="9"/>
            <color indexed="81"/>
            <rFont val="돋움"/>
            <family val="3"/>
            <charset val="129"/>
          </rPr>
          <t>언급이</t>
        </r>
        <r>
          <rPr>
            <sz val="9"/>
            <color indexed="81"/>
            <rFont val="Tahoma"/>
            <family val="2"/>
          </rPr>
          <t xml:space="preserve"> </t>
        </r>
        <r>
          <rPr>
            <sz val="9"/>
            <color indexed="81"/>
            <rFont val="돋움"/>
            <family val="3"/>
            <charset val="129"/>
          </rPr>
          <t>없다</t>
        </r>
        <r>
          <rPr>
            <sz val="9"/>
            <color indexed="81"/>
            <rFont val="Tahoma"/>
            <family val="2"/>
          </rPr>
          <t>.</t>
        </r>
      </text>
    </comment>
    <comment ref="P219"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bx </t>
        </r>
        <r>
          <rPr>
            <sz val="9"/>
            <color indexed="81"/>
            <rFont val="돋움"/>
            <family val="3"/>
            <charset val="129"/>
          </rPr>
          <t>검체에는</t>
        </r>
        <r>
          <rPr>
            <sz val="9"/>
            <color indexed="81"/>
            <rFont val="Tahoma"/>
            <family val="2"/>
          </rPr>
          <t xml:space="preserve"> </t>
        </r>
        <r>
          <rPr>
            <sz val="9"/>
            <color indexed="81"/>
            <rFont val="돋움"/>
            <family val="3"/>
            <charset val="129"/>
          </rPr>
          <t>언급이</t>
        </r>
        <r>
          <rPr>
            <sz val="9"/>
            <color indexed="81"/>
            <rFont val="Tahoma"/>
            <family val="2"/>
          </rPr>
          <t xml:space="preserve"> </t>
        </r>
        <r>
          <rPr>
            <sz val="9"/>
            <color indexed="81"/>
            <rFont val="돋움"/>
            <family val="3"/>
            <charset val="129"/>
          </rPr>
          <t>없다</t>
        </r>
        <r>
          <rPr>
            <sz val="9"/>
            <color indexed="81"/>
            <rFont val="Tahoma"/>
            <family val="2"/>
          </rPr>
          <t>.</t>
        </r>
      </text>
    </comment>
    <comment ref="O22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SqCC PD</t>
        </r>
        <r>
          <rPr>
            <sz val="9"/>
            <color indexed="81"/>
            <rFont val="돋움"/>
            <family val="3"/>
            <charset val="129"/>
          </rPr>
          <t>라는</t>
        </r>
        <r>
          <rPr>
            <sz val="9"/>
            <color indexed="81"/>
            <rFont val="Tahoma"/>
            <family val="2"/>
          </rPr>
          <t xml:space="preserve"> </t>
        </r>
        <r>
          <rPr>
            <sz val="9"/>
            <color indexed="81"/>
            <rFont val="돋움"/>
            <family val="3"/>
            <charset val="129"/>
          </rPr>
          <t>언급은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외부기록이나</t>
        </r>
        <r>
          <rPr>
            <sz val="9"/>
            <color indexed="81"/>
            <rFont val="Tahoma"/>
            <family val="2"/>
          </rPr>
          <t xml:space="preserve"> </t>
        </r>
        <r>
          <rPr>
            <sz val="9"/>
            <color indexed="81"/>
            <rFont val="돋움"/>
            <family val="3"/>
            <charset val="129"/>
          </rPr>
          <t>본원기록이나</t>
        </r>
        <r>
          <rPr>
            <sz val="9"/>
            <color indexed="81"/>
            <rFont val="Tahoma"/>
            <family val="2"/>
          </rPr>
          <t xml:space="preserve"> </t>
        </r>
        <r>
          <rPr>
            <sz val="9"/>
            <color indexed="81"/>
            <rFont val="돋움"/>
            <family val="3"/>
            <charset val="129"/>
          </rPr>
          <t>모두</t>
        </r>
        <r>
          <rPr>
            <sz val="9"/>
            <color indexed="81"/>
            <rFont val="Tahoma"/>
            <family val="2"/>
          </rPr>
          <t xml:space="preserve"> PD carcinoma</t>
        </r>
      </text>
    </comment>
    <comment ref="AZ22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post 0.5</t>
        </r>
        <r>
          <rPr>
            <sz val="9"/>
            <color indexed="81"/>
            <rFont val="돋움"/>
            <family val="3"/>
            <charset val="129"/>
          </rPr>
          <t>라는</t>
        </r>
        <r>
          <rPr>
            <sz val="9"/>
            <color indexed="81"/>
            <rFont val="Tahoma"/>
            <family val="2"/>
          </rPr>
          <t xml:space="preserve"> </t>
        </r>
        <r>
          <rPr>
            <sz val="9"/>
            <color indexed="81"/>
            <rFont val="돋움"/>
            <family val="3"/>
            <charset val="129"/>
          </rPr>
          <t>기록</t>
        </r>
      </text>
    </comment>
    <comment ref="Y22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EUS</t>
        </r>
        <r>
          <rPr>
            <sz val="9"/>
            <color indexed="81"/>
            <rFont val="돋움"/>
            <family val="3"/>
            <charset val="129"/>
          </rPr>
          <t>를</t>
        </r>
        <r>
          <rPr>
            <sz val="9"/>
            <color indexed="81"/>
            <rFont val="Tahoma"/>
            <family val="2"/>
          </rPr>
          <t xml:space="preserve"> </t>
        </r>
        <r>
          <rPr>
            <sz val="9"/>
            <color indexed="81"/>
            <rFont val="돋움"/>
            <family val="3"/>
            <charset val="129"/>
          </rPr>
          <t>안했다</t>
        </r>
        <r>
          <rPr>
            <sz val="9"/>
            <color indexed="81"/>
            <rFont val="Tahoma"/>
            <family val="2"/>
          </rPr>
          <t xml:space="preserve">. T2 </t>
        </r>
        <r>
          <rPr>
            <sz val="9"/>
            <color indexed="81"/>
            <rFont val="돋움"/>
            <family val="3"/>
            <charset val="129"/>
          </rPr>
          <t>정도로</t>
        </r>
        <r>
          <rPr>
            <sz val="9"/>
            <color indexed="81"/>
            <rFont val="Tahoma"/>
            <family val="2"/>
          </rPr>
          <t xml:space="preserve"> </t>
        </r>
        <r>
          <rPr>
            <sz val="9"/>
            <color indexed="81"/>
            <rFont val="돋움"/>
            <family val="3"/>
            <charset val="129"/>
          </rPr>
          <t>생각되긴</t>
        </r>
        <r>
          <rPr>
            <sz val="9"/>
            <color indexed="81"/>
            <rFont val="Tahoma"/>
            <family val="2"/>
          </rPr>
          <t xml:space="preserve"> </t>
        </r>
        <r>
          <rPr>
            <sz val="9"/>
            <color indexed="81"/>
            <rFont val="돋움"/>
            <family val="3"/>
            <charset val="129"/>
          </rPr>
          <t>한다</t>
        </r>
        <r>
          <rPr>
            <sz val="9"/>
            <color indexed="81"/>
            <rFont val="Tahoma"/>
            <family val="2"/>
          </rPr>
          <t>.</t>
        </r>
      </text>
    </comment>
    <comment ref="AF22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Lt SCL</t>
        </r>
      </text>
    </comment>
    <comment ref="AU22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superior </t>
        </r>
        <r>
          <rPr>
            <sz val="9"/>
            <color indexed="81"/>
            <rFont val="돋움"/>
            <family val="3"/>
            <charset val="129"/>
          </rPr>
          <t>방향으로는</t>
        </r>
        <r>
          <rPr>
            <sz val="9"/>
            <color indexed="81"/>
            <rFont val="Tahoma"/>
            <family val="2"/>
          </rPr>
          <t xml:space="preserve"> </t>
        </r>
        <r>
          <rPr>
            <sz val="9"/>
            <color indexed="81"/>
            <rFont val="돋움"/>
            <family val="3"/>
            <charset val="129"/>
          </rPr>
          <t>기술되지</t>
        </r>
        <r>
          <rPr>
            <sz val="9"/>
            <color indexed="81"/>
            <rFont val="Tahoma"/>
            <family val="2"/>
          </rPr>
          <t xml:space="preserve"> </t>
        </r>
        <r>
          <rPr>
            <sz val="9"/>
            <color indexed="81"/>
            <rFont val="돋움"/>
            <family val="3"/>
            <charset val="129"/>
          </rPr>
          <t>않았다</t>
        </r>
        <r>
          <rPr>
            <sz val="9"/>
            <color indexed="81"/>
            <rFont val="Tahoma"/>
            <family val="2"/>
          </rPr>
          <t>. Elective field</t>
        </r>
        <r>
          <rPr>
            <sz val="9"/>
            <color indexed="81"/>
            <rFont val="돋움"/>
            <family val="3"/>
            <charset val="129"/>
          </rPr>
          <t>때문인가</t>
        </r>
        <r>
          <rPr>
            <sz val="9"/>
            <color indexed="81"/>
            <rFont val="Tahoma"/>
            <family val="2"/>
          </rPr>
          <t>...</t>
        </r>
      </text>
    </comment>
    <comment ref="BU226"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5</t>
        </r>
        <r>
          <rPr>
            <sz val="9"/>
            <color indexed="81"/>
            <rFont val="돋움"/>
            <family val="3"/>
            <charset val="129"/>
          </rPr>
          <t>주차</t>
        </r>
        <r>
          <rPr>
            <sz val="9"/>
            <color indexed="81"/>
            <rFont val="Tahoma"/>
            <family val="2"/>
          </rPr>
          <t xml:space="preserve"> skip</t>
        </r>
      </text>
    </comment>
    <comment ref="P22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타원에서</t>
        </r>
        <r>
          <rPr>
            <sz val="9"/>
            <color indexed="81"/>
            <rFont val="Tahoma"/>
            <family val="2"/>
          </rPr>
          <t xml:space="preserve"> </t>
        </r>
        <r>
          <rPr>
            <sz val="9"/>
            <color indexed="81"/>
            <rFont val="돋움"/>
            <family val="3"/>
            <charset val="129"/>
          </rPr>
          <t>생검한</t>
        </r>
        <r>
          <rPr>
            <sz val="9"/>
            <color indexed="81"/>
            <rFont val="Tahoma"/>
            <family val="2"/>
          </rPr>
          <t xml:space="preserve"> </t>
        </r>
        <r>
          <rPr>
            <sz val="9"/>
            <color indexed="81"/>
            <rFont val="돋움"/>
            <family val="3"/>
            <charset val="129"/>
          </rPr>
          <t>검체</t>
        </r>
        <r>
          <rPr>
            <sz val="9"/>
            <color indexed="81"/>
            <rFont val="Tahoma"/>
            <family val="2"/>
          </rPr>
          <t xml:space="preserve"> </t>
        </r>
        <r>
          <rPr>
            <sz val="9"/>
            <color indexed="81"/>
            <rFont val="돋움"/>
            <family val="3"/>
            <charset val="129"/>
          </rPr>
          <t>분석에서는</t>
        </r>
        <r>
          <rPr>
            <sz val="9"/>
            <color indexed="81"/>
            <rFont val="Tahoma"/>
            <family val="2"/>
          </rPr>
          <t xml:space="preserve"> WD</t>
        </r>
        <r>
          <rPr>
            <sz val="9"/>
            <color indexed="81"/>
            <rFont val="돋움"/>
            <family val="3"/>
            <charset val="129"/>
          </rPr>
          <t>로</t>
        </r>
        <r>
          <rPr>
            <sz val="9"/>
            <color indexed="81"/>
            <rFont val="Tahoma"/>
            <family val="2"/>
          </rPr>
          <t xml:space="preserve"> </t>
        </r>
        <r>
          <rPr>
            <sz val="9"/>
            <color indexed="81"/>
            <rFont val="돋움"/>
            <family val="3"/>
            <charset val="129"/>
          </rPr>
          <t>나왔던</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같은데</t>
        </r>
        <r>
          <rPr>
            <sz val="9"/>
            <color indexed="81"/>
            <rFont val="Tahoma"/>
            <family val="2"/>
          </rPr>
          <t>.</t>
        </r>
      </text>
    </comment>
    <comment ref="AN2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lower mediastinum carina</t>
        </r>
        <r>
          <rPr>
            <sz val="9"/>
            <color indexed="81"/>
            <rFont val="돋움"/>
            <family val="3"/>
            <charset val="129"/>
          </rPr>
          <t>까지</t>
        </r>
      </text>
    </comment>
    <comment ref="CE2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New liver metastasis</t>
        </r>
        <r>
          <rPr>
            <sz val="9"/>
            <color indexed="81"/>
            <rFont val="돋움"/>
            <family val="3"/>
            <charset val="129"/>
          </rPr>
          <t>로</t>
        </r>
        <r>
          <rPr>
            <sz val="9"/>
            <color indexed="81"/>
            <rFont val="Tahoma"/>
            <family val="2"/>
          </rPr>
          <t xml:space="preserve"> </t>
        </r>
        <r>
          <rPr>
            <sz val="9"/>
            <color indexed="81"/>
            <rFont val="돋움"/>
            <family val="3"/>
            <charset val="129"/>
          </rPr>
          <t>인해서</t>
        </r>
      </text>
    </comment>
    <comment ref="FD231" authorId="3" shapeId="0">
      <text>
        <r>
          <rPr>
            <b/>
            <sz val="10"/>
            <color rgb="FF000000"/>
            <rFont val="Malgun Gothic"/>
            <family val="2"/>
            <charset val="129"/>
          </rPr>
          <t>Tae Hoon Lee:</t>
        </r>
        <r>
          <rPr>
            <sz val="10"/>
            <color rgb="FF000000"/>
            <rFont val="Malgun Gothic"/>
            <family val="2"/>
            <charset val="129"/>
          </rPr>
          <t xml:space="preserve">
</t>
        </r>
        <r>
          <rPr>
            <sz val="10"/>
            <color rgb="FF000000"/>
            <rFont val="Malgun Gothic"/>
            <family val="2"/>
            <charset val="129"/>
          </rPr>
          <t>외국인</t>
        </r>
      </text>
    </comment>
    <comment ref="FW23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2017/10/25 chest CT </t>
        </r>
        <r>
          <rPr>
            <sz val="9"/>
            <color indexed="81"/>
            <rFont val="돋움"/>
            <family val="3"/>
            <charset val="129"/>
          </rPr>
          <t>상</t>
        </r>
        <r>
          <rPr>
            <sz val="9"/>
            <color indexed="81"/>
            <rFont val="Tahoma"/>
            <family val="2"/>
          </rPr>
          <t xml:space="preserve"> esophageal wall thickening</t>
        </r>
        <r>
          <rPr>
            <sz val="9"/>
            <color indexed="81"/>
            <rFont val="돋움"/>
            <family val="3"/>
            <charset val="129"/>
          </rPr>
          <t>의</t>
        </r>
        <r>
          <rPr>
            <sz val="9"/>
            <color indexed="81"/>
            <rFont val="Tahoma"/>
            <family val="2"/>
          </rPr>
          <t xml:space="preserve"> </t>
        </r>
        <r>
          <rPr>
            <sz val="9"/>
            <color indexed="81"/>
            <rFont val="돋움"/>
            <family val="3"/>
            <charset val="129"/>
          </rPr>
          <t>악화</t>
        </r>
        <r>
          <rPr>
            <sz val="9"/>
            <color indexed="81"/>
            <rFont val="Tahoma"/>
            <family val="2"/>
          </rPr>
          <t>, r/o esophagoleural or esophagobronchial fistula. Disease aggravation</t>
        </r>
        <r>
          <rPr>
            <sz val="9"/>
            <color indexed="81"/>
            <rFont val="돋움"/>
            <family val="3"/>
            <charset val="129"/>
          </rPr>
          <t>이</t>
        </r>
        <r>
          <rPr>
            <sz val="9"/>
            <color indexed="81"/>
            <rFont val="Tahoma"/>
            <family val="2"/>
          </rPr>
          <t xml:space="preserve"> </t>
        </r>
        <r>
          <rPr>
            <sz val="9"/>
            <color indexed="81"/>
            <rFont val="돋움"/>
            <family val="3"/>
            <charset val="129"/>
          </rPr>
          <t>동반되고</t>
        </r>
        <r>
          <rPr>
            <sz val="9"/>
            <color indexed="81"/>
            <rFont val="Tahoma"/>
            <family val="2"/>
          </rPr>
          <t xml:space="preserve"> </t>
        </r>
        <r>
          <rPr>
            <sz val="9"/>
            <color indexed="81"/>
            <rFont val="돋움"/>
            <family val="3"/>
            <charset val="129"/>
          </rPr>
          <t>있던</t>
        </r>
        <r>
          <rPr>
            <sz val="9"/>
            <color indexed="81"/>
            <rFont val="Tahoma"/>
            <family val="2"/>
          </rPr>
          <t xml:space="preserve"> </t>
        </r>
        <r>
          <rPr>
            <sz val="9"/>
            <color indexed="81"/>
            <rFont val="돋움"/>
            <family val="3"/>
            <charset val="129"/>
          </rPr>
          <t>상황이라는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고려</t>
        </r>
        <r>
          <rPr>
            <sz val="9"/>
            <color indexed="81"/>
            <rFont val="Tahoma"/>
            <family val="2"/>
          </rPr>
          <t xml:space="preserve"> </t>
        </r>
        <r>
          <rPr>
            <sz val="9"/>
            <color indexed="81"/>
            <rFont val="돋움"/>
            <family val="3"/>
            <charset val="129"/>
          </rPr>
          <t>필요</t>
        </r>
        <r>
          <rPr>
            <sz val="9"/>
            <color indexed="81"/>
            <rFont val="Tahoma"/>
            <family val="2"/>
          </rPr>
          <t>.</t>
        </r>
      </text>
    </comment>
    <comment ref="Y23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r/o focal tracheal invasion</t>
        </r>
      </text>
    </comment>
    <comment ref="AF23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Rt. Neck LN</t>
        </r>
      </text>
    </comment>
    <comment ref="CE23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PD with systemic bone meta</t>
        </r>
      </text>
    </comment>
    <comment ref="O234"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Poorly differentiated ca.</t>
        </r>
      </text>
    </comment>
    <comment ref="AN2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GTVp</t>
        </r>
        <r>
          <rPr>
            <sz val="9"/>
            <color indexed="81"/>
            <rFont val="돋움"/>
            <family val="3"/>
            <charset val="129"/>
          </rPr>
          <t>에서야</t>
        </r>
        <r>
          <rPr>
            <sz val="9"/>
            <color indexed="81"/>
            <rFont val="Tahoma"/>
            <family val="2"/>
          </rPr>
          <t xml:space="preserve"> </t>
        </r>
        <r>
          <rPr>
            <sz val="9"/>
            <color indexed="81"/>
            <rFont val="돋움"/>
            <family val="3"/>
            <charset val="129"/>
          </rPr>
          <t>위쪽으로</t>
        </r>
        <r>
          <rPr>
            <sz val="9"/>
            <color indexed="81"/>
            <rFont val="Tahoma"/>
            <family val="2"/>
          </rPr>
          <t xml:space="preserve"> </t>
        </r>
        <r>
          <rPr>
            <sz val="9"/>
            <color indexed="81"/>
            <rFont val="돋움"/>
            <family val="3"/>
            <charset val="129"/>
          </rPr>
          <t>많이</t>
        </r>
        <r>
          <rPr>
            <sz val="9"/>
            <color indexed="81"/>
            <rFont val="Tahoma"/>
            <family val="2"/>
          </rPr>
          <t xml:space="preserve"> </t>
        </r>
        <r>
          <rPr>
            <sz val="9"/>
            <color indexed="81"/>
            <rFont val="돋움"/>
            <family val="3"/>
            <charset val="129"/>
          </rPr>
          <t>나갔는데</t>
        </r>
        <r>
          <rPr>
            <sz val="9"/>
            <color indexed="81"/>
            <rFont val="Tahoma"/>
            <family val="2"/>
          </rPr>
          <t>, upper mediastinal LN</t>
        </r>
        <r>
          <rPr>
            <sz val="9"/>
            <color indexed="81"/>
            <rFont val="돋움"/>
            <family val="3"/>
            <charset val="129"/>
          </rPr>
          <t>이</t>
        </r>
        <r>
          <rPr>
            <sz val="9"/>
            <color indexed="81"/>
            <rFont val="Tahoma"/>
            <family val="2"/>
          </rPr>
          <t xml:space="preserve"> </t>
        </r>
        <r>
          <rPr>
            <sz val="9"/>
            <color indexed="81"/>
            <rFont val="돋움"/>
            <family val="3"/>
            <charset val="129"/>
          </rPr>
          <t>있다보니</t>
        </r>
        <r>
          <rPr>
            <sz val="9"/>
            <color indexed="81"/>
            <rFont val="Tahoma"/>
            <family val="2"/>
          </rPr>
          <t>...</t>
        </r>
      </text>
    </comment>
    <comment ref="CE2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patient refusal</t>
        </r>
      </text>
    </comment>
    <comment ref="DH2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수술</t>
        </r>
        <r>
          <rPr>
            <sz val="9"/>
            <color indexed="81"/>
            <rFont val="Tahoma"/>
            <family val="2"/>
          </rPr>
          <t xml:space="preserve"> </t>
        </r>
        <r>
          <rPr>
            <sz val="9"/>
            <color indexed="81"/>
            <rFont val="돋움"/>
            <family val="3"/>
            <charset val="129"/>
          </rPr>
          <t>안한다니까</t>
        </r>
        <r>
          <rPr>
            <sz val="9"/>
            <color indexed="81"/>
            <rFont val="Tahoma"/>
            <family val="2"/>
          </rPr>
          <t xml:space="preserve"> 2014</t>
        </r>
        <r>
          <rPr>
            <sz val="9"/>
            <color indexed="81"/>
            <rFont val="돋움"/>
            <family val="3"/>
            <charset val="129"/>
          </rPr>
          <t>년</t>
        </r>
        <r>
          <rPr>
            <sz val="9"/>
            <color indexed="81"/>
            <rFont val="Tahoma"/>
            <family val="2"/>
          </rPr>
          <t xml:space="preserve"> 1</t>
        </r>
        <r>
          <rPr>
            <sz val="9"/>
            <color indexed="81"/>
            <rFont val="돋움"/>
            <family val="3"/>
            <charset val="129"/>
          </rPr>
          <t>월에</t>
        </r>
        <r>
          <rPr>
            <sz val="9"/>
            <color indexed="81"/>
            <rFont val="Tahoma"/>
            <family val="2"/>
          </rPr>
          <t xml:space="preserve"> 16Gy/8fx </t>
        </r>
        <r>
          <rPr>
            <sz val="9"/>
            <color indexed="81"/>
            <rFont val="돋움"/>
            <family val="3"/>
            <charset val="129"/>
          </rPr>
          <t>추가</t>
        </r>
        <r>
          <rPr>
            <sz val="9"/>
            <color indexed="81"/>
            <rFont val="Tahoma"/>
            <family val="2"/>
          </rPr>
          <t xml:space="preserve"> </t>
        </r>
        <r>
          <rPr>
            <sz val="9"/>
            <color indexed="81"/>
            <rFont val="돋움"/>
            <family val="3"/>
            <charset val="129"/>
          </rPr>
          <t>실시하긴</t>
        </r>
        <r>
          <rPr>
            <sz val="9"/>
            <color indexed="81"/>
            <rFont val="Tahoma"/>
            <family val="2"/>
          </rPr>
          <t xml:space="preserve"> </t>
        </r>
        <r>
          <rPr>
            <sz val="9"/>
            <color indexed="81"/>
            <rFont val="돋움"/>
            <family val="3"/>
            <charset val="129"/>
          </rPr>
          <t>했다</t>
        </r>
        <r>
          <rPr>
            <sz val="9"/>
            <color indexed="81"/>
            <rFont val="Tahoma"/>
            <family val="2"/>
          </rPr>
          <t>.</t>
        </r>
      </text>
    </comment>
    <comment ref="FU2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esophageal stent insertion ('15.11.19) 
(disease progression </t>
        </r>
        <r>
          <rPr>
            <sz val="9"/>
            <color indexed="81"/>
            <rFont val="돋움"/>
            <family val="3"/>
            <charset val="129"/>
          </rPr>
          <t>때문일</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같기는</t>
        </r>
        <r>
          <rPr>
            <sz val="9"/>
            <color indexed="81"/>
            <rFont val="Tahoma"/>
            <family val="2"/>
          </rPr>
          <t xml:space="preserve"> </t>
        </r>
        <r>
          <rPr>
            <sz val="9"/>
            <color indexed="81"/>
            <rFont val="돋움"/>
            <family val="3"/>
            <charset val="129"/>
          </rPr>
          <t>하지만</t>
        </r>
        <r>
          <rPr>
            <sz val="9"/>
            <color indexed="81"/>
            <rFont val="Tahoma"/>
            <family val="2"/>
          </rPr>
          <t>)</t>
        </r>
      </text>
    </comment>
    <comment ref="FW235"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16.1 Bronchoesophageal fistula with aspiration pnuemonia </t>
        </r>
      </text>
    </comment>
    <comment ref="AO237"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Disease</t>
        </r>
        <r>
          <rPr>
            <sz val="9"/>
            <color indexed="81"/>
            <rFont val="돋움"/>
            <family val="3"/>
            <charset val="129"/>
          </rPr>
          <t>가</t>
        </r>
        <r>
          <rPr>
            <sz val="9"/>
            <color indexed="81"/>
            <rFont val="Tahoma"/>
            <family val="2"/>
          </rPr>
          <t xml:space="preserve"> </t>
        </r>
        <r>
          <rPr>
            <sz val="9"/>
            <color indexed="81"/>
            <rFont val="돋움"/>
            <family val="3"/>
            <charset val="129"/>
          </rPr>
          <t>있기</t>
        </r>
        <r>
          <rPr>
            <sz val="9"/>
            <color indexed="81"/>
            <rFont val="Tahoma"/>
            <family val="2"/>
          </rPr>
          <t xml:space="preserve"> </t>
        </r>
        <r>
          <rPr>
            <sz val="9"/>
            <color indexed="81"/>
            <rFont val="돋움"/>
            <family val="3"/>
            <charset val="129"/>
          </rPr>
          <t>때문에</t>
        </r>
        <r>
          <rPr>
            <sz val="9"/>
            <color indexed="81"/>
            <rFont val="Tahoma"/>
            <family val="2"/>
          </rPr>
          <t xml:space="preserve"> elective</t>
        </r>
        <r>
          <rPr>
            <sz val="9"/>
            <color indexed="81"/>
            <rFont val="돋움"/>
            <family val="3"/>
            <charset val="129"/>
          </rPr>
          <t>는</t>
        </r>
        <r>
          <rPr>
            <sz val="9"/>
            <color indexed="81"/>
            <rFont val="Tahoma"/>
            <family val="2"/>
          </rPr>
          <t xml:space="preserve"> </t>
        </r>
        <r>
          <rPr>
            <sz val="9"/>
            <color indexed="81"/>
            <rFont val="돋움"/>
            <family val="3"/>
            <charset val="129"/>
          </rPr>
          <t>아니다</t>
        </r>
        <r>
          <rPr>
            <sz val="9"/>
            <color indexed="81"/>
            <rFont val="Tahoma"/>
            <family val="2"/>
          </rPr>
          <t>.</t>
        </r>
      </text>
    </comment>
    <comment ref="CE251"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tumor shrinkage </t>
        </r>
        <r>
          <rPr>
            <sz val="9"/>
            <color indexed="81"/>
            <rFont val="돋움"/>
            <family val="3"/>
            <charset val="129"/>
          </rPr>
          <t>되면서</t>
        </r>
        <r>
          <rPr>
            <sz val="9"/>
            <color indexed="81"/>
            <rFont val="Tahoma"/>
            <family val="2"/>
          </rPr>
          <t xml:space="preserve"> gastric fistula</t>
        </r>
        <r>
          <rPr>
            <sz val="9"/>
            <color indexed="81"/>
            <rFont val="돋움"/>
            <family val="3"/>
            <charset val="129"/>
          </rPr>
          <t>가</t>
        </r>
        <r>
          <rPr>
            <sz val="9"/>
            <color indexed="81"/>
            <rFont val="Tahoma"/>
            <family val="2"/>
          </rPr>
          <t xml:space="preserve"> </t>
        </r>
        <r>
          <rPr>
            <sz val="9"/>
            <color indexed="81"/>
            <rFont val="돋움"/>
            <family val="3"/>
            <charset val="129"/>
          </rPr>
          <t>생기는</t>
        </r>
        <r>
          <rPr>
            <sz val="9"/>
            <color indexed="81"/>
            <rFont val="Tahoma"/>
            <family val="2"/>
          </rPr>
          <t xml:space="preserve"> </t>
        </r>
        <r>
          <rPr>
            <sz val="9"/>
            <color indexed="81"/>
            <rFont val="돋움"/>
            <family val="3"/>
            <charset val="129"/>
          </rPr>
          <t>바람에</t>
        </r>
        <r>
          <rPr>
            <sz val="9"/>
            <color indexed="81"/>
            <rFont val="Tahoma"/>
            <family val="2"/>
          </rPr>
          <t xml:space="preserve"> </t>
        </r>
        <r>
          <rPr>
            <sz val="9"/>
            <color indexed="81"/>
            <rFont val="돋움"/>
            <family val="3"/>
            <charset val="129"/>
          </rPr>
          <t>수술하지</t>
        </r>
        <r>
          <rPr>
            <sz val="9"/>
            <color indexed="81"/>
            <rFont val="Tahoma"/>
            <family val="2"/>
          </rPr>
          <t xml:space="preserve"> </t>
        </r>
        <r>
          <rPr>
            <sz val="9"/>
            <color indexed="81"/>
            <rFont val="돋움"/>
            <family val="3"/>
            <charset val="129"/>
          </rPr>
          <t>못하였다</t>
        </r>
        <r>
          <rPr>
            <sz val="9"/>
            <color indexed="81"/>
            <rFont val="Tahoma"/>
            <family val="2"/>
          </rPr>
          <t xml:space="preserve">. </t>
        </r>
        <r>
          <rPr>
            <sz val="9"/>
            <color indexed="81"/>
            <rFont val="돋움"/>
            <family val="3"/>
            <charset val="129"/>
          </rPr>
          <t>이후</t>
        </r>
        <r>
          <rPr>
            <sz val="9"/>
            <color indexed="81"/>
            <rFont val="Tahoma"/>
            <family val="2"/>
          </rPr>
          <t xml:space="preserve"> liver metastasis </t>
        </r>
        <r>
          <rPr>
            <sz val="9"/>
            <color indexed="81"/>
            <rFont val="돋움"/>
            <family val="3"/>
            <charset val="129"/>
          </rPr>
          <t>발생</t>
        </r>
        <r>
          <rPr>
            <sz val="9"/>
            <color indexed="81"/>
            <rFont val="Tahoma"/>
            <family val="2"/>
          </rPr>
          <t>.</t>
        </r>
      </text>
    </comment>
    <comment ref="CE252"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환자가</t>
        </r>
        <r>
          <rPr>
            <sz val="9"/>
            <color indexed="81"/>
            <rFont val="Tahoma"/>
            <family val="2"/>
          </rPr>
          <t xml:space="preserve"> </t>
        </r>
        <r>
          <rPr>
            <sz val="9"/>
            <color indexed="81"/>
            <rFont val="돋움"/>
            <family val="3"/>
            <charset val="129"/>
          </rPr>
          <t>수술</t>
        </r>
        <r>
          <rPr>
            <sz val="9"/>
            <color indexed="81"/>
            <rFont val="Tahoma"/>
            <family val="2"/>
          </rPr>
          <t xml:space="preserve"> </t>
        </r>
        <r>
          <rPr>
            <sz val="9"/>
            <color indexed="81"/>
            <rFont val="돋움"/>
            <family val="3"/>
            <charset val="129"/>
          </rPr>
          <t>거절</t>
        </r>
      </text>
    </comment>
    <comment ref="CE253" authorId="0" shapeId="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Pnuemonia </t>
        </r>
        <r>
          <rPr>
            <sz val="9"/>
            <color indexed="81"/>
            <rFont val="돋움"/>
            <family val="3"/>
            <charset val="129"/>
          </rPr>
          <t>로</t>
        </r>
        <r>
          <rPr>
            <sz val="9"/>
            <color indexed="81"/>
            <rFont val="Tahoma"/>
            <family val="2"/>
          </rPr>
          <t xml:space="preserve"> </t>
        </r>
        <r>
          <rPr>
            <sz val="9"/>
            <color indexed="81"/>
            <rFont val="돋움"/>
            <family val="3"/>
            <charset val="129"/>
          </rPr>
          <t>수술하지</t>
        </r>
        <r>
          <rPr>
            <sz val="9"/>
            <color indexed="81"/>
            <rFont val="Tahoma"/>
            <family val="2"/>
          </rPr>
          <t xml:space="preserve"> </t>
        </r>
        <r>
          <rPr>
            <sz val="9"/>
            <color indexed="81"/>
            <rFont val="돋움"/>
            <family val="3"/>
            <charset val="129"/>
          </rPr>
          <t>못함</t>
        </r>
      </text>
    </comment>
  </commentList>
</comments>
</file>

<file path=xl/sharedStrings.xml><?xml version="1.0" encoding="utf-8"?>
<sst xmlns="http://schemas.openxmlformats.org/spreadsheetml/2006/main" count="9571" uniqueCount="2531">
  <si>
    <t>Robot-assisted McKeown operation (Thoracic esophagectomy, gastric conduit preperation, cervical esophagogastrostomy), 3-field LN dissection, feeding jejunostomy, pyloromyotomy [postop. ICU]</t>
    <phoneticPr fontId="2" type="noConversion"/>
  </si>
  <si>
    <t>F</t>
    <phoneticPr fontId="2" type="noConversion"/>
  </si>
  <si>
    <r>
      <t>Fanconi anemia, RT dose</t>
    </r>
    <r>
      <rPr>
        <sz val="10"/>
        <color theme="1"/>
        <rFont val="돋움"/>
        <family val="3"/>
        <charset val="129"/>
      </rPr>
      <t>도</t>
    </r>
    <r>
      <rPr>
        <sz val="10"/>
        <color theme="1"/>
        <rFont val="Arial"/>
        <family val="2"/>
      </rPr>
      <t xml:space="preserve"> 30Gy/20fx</t>
    </r>
    <r>
      <rPr>
        <sz val="10"/>
        <color theme="1"/>
        <rFont val="돋움"/>
        <family val="3"/>
        <charset val="129"/>
      </rPr>
      <t>으로</t>
    </r>
    <r>
      <rPr>
        <sz val="10"/>
        <color theme="1"/>
        <rFont val="Arial"/>
        <family val="2"/>
      </rPr>
      <t xml:space="preserve"> </t>
    </r>
    <r>
      <rPr>
        <sz val="10"/>
        <color theme="1"/>
        <rFont val="돋움"/>
        <family val="3"/>
        <charset val="129"/>
      </rPr>
      <t>낮음</t>
    </r>
    <phoneticPr fontId="2" type="noConversion"/>
  </si>
  <si>
    <t>유수연</t>
  </si>
  <si>
    <t>SNUH_242</t>
  </si>
  <si>
    <t>M</t>
    <phoneticPr fontId="2" type="noConversion"/>
  </si>
  <si>
    <t>김상균</t>
  </si>
  <si>
    <t>SNUH_240</t>
  </si>
  <si>
    <r>
      <t>Previous malignancy: Gastric ca (</t>
    </r>
    <r>
      <rPr>
        <sz val="10"/>
        <color theme="1"/>
        <rFont val="돋움"/>
        <family val="3"/>
        <charset val="129"/>
      </rPr>
      <t>하지만</t>
    </r>
    <r>
      <rPr>
        <sz val="10"/>
        <color theme="1"/>
        <rFont val="Arial"/>
        <family val="2"/>
      </rPr>
      <t xml:space="preserve"> 2001</t>
    </r>
    <r>
      <rPr>
        <sz val="10"/>
        <color theme="1"/>
        <rFont val="돋움"/>
        <family val="3"/>
        <charset val="129"/>
      </rPr>
      <t>년이라</t>
    </r>
    <r>
      <rPr>
        <sz val="10"/>
        <color theme="1"/>
        <rFont val="Arial"/>
        <family val="2"/>
      </rPr>
      <t xml:space="preserve"> ok)</t>
    </r>
    <phoneticPr fontId="2" type="noConversion"/>
  </si>
  <si>
    <t>장억순</t>
  </si>
  <si>
    <t>SNUH_239</t>
  </si>
  <si>
    <t>신수명</t>
  </si>
  <si>
    <t>SNUH_231</t>
  </si>
  <si>
    <t>Robotic Ivor Lewis operation (robotic esophagectomy, esophagogastrostomy), total three-field LN dissection, feeding jejunostomy, pyloromyotomy, adhesiolysis, pre-emptive multilevel intercostal nerve block [postop. ICU]</t>
    <phoneticPr fontId="2" type="noConversion"/>
  </si>
  <si>
    <r>
      <t>Double primary: Concomitant gastric cancer (early) --&gt; EGD</t>
    </r>
    <r>
      <rPr>
        <sz val="10"/>
        <color theme="1"/>
        <rFont val="돋움"/>
        <family val="3"/>
        <charset val="129"/>
      </rPr>
      <t>로</t>
    </r>
    <r>
      <rPr>
        <sz val="10"/>
        <color theme="1"/>
        <rFont val="Arial"/>
        <family val="2"/>
      </rPr>
      <t xml:space="preserve"> </t>
    </r>
    <r>
      <rPr>
        <sz val="10"/>
        <color theme="1"/>
        <rFont val="돋움"/>
        <family val="3"/>
        <charset val="129"/>
      </rPr>
      <t>해결</t>
    </r>
    <phoneticPr fontId="2" type="noConversion"/>
  </si>
  <si>
    <t>박용철</t>
  </si>
  <si>
    <t>SNUH_230</t>
  </si>
  <si>
    <t>Robot-assisted McKeown operation (Thoracic esophagectomy, gastric conduit preperation, cervical esophagogastrostomy via upper partial sternotomy), 3-field LN dissection, feeding jejunostomy, pyloromyoplasty [postop. ICU]</t>
  </si>
  <si>
    <t>neoadj</t>
    <phoneticPr fontId="2" type="noConversion"/>
  </si>
  <si>
    <t>Pathology: mixed tumor</t>
    <phoneticPr fontId="2" type="noConversion"/>
  </si>
  <si>
    <t>문상천</t>
  </si>
  <si>
    <t>SNUH_220</t>
  </si>
  <si>
    <t>Double primary: Concomitant tongue cancer</t>
    <phoneticPr fontId="2" type="noConversion"/>
  </si>
  <si>
    <t>신창균</t>
  </si>
  <si>
    <t>SNUH_215</t>
  </si>
  <si>
    <t>Robotic Ivor Lewis operation (robotic esophagectomy, esophagogastrostomy), three-field LN dissection, feeding jejunostomy, pre-emptive multilevel intercostal nerve block, adhesiolysis</t>
  </si>
  <si>
    <r>
      <t xml:space="preserve">Incomplete RT: 44Gy/22fx </t>
    </r>
    <r>
      <rPr>
        <sz val="10"/>
        <color theme="1"/>
        <rFont val="돋움"/>
        <family val="3"/>
        <charset val="129"/>
      </rPr>
      <t>계획되어</t>
    </r>
    <r>
      <rPr>
        <sz val="10"/>
        <color theme="1"/>
        <rFont val="Arial"/>
        <family val="2"/>
      </rPr>
      <t xml:space="preserve"> </t>
    </r>
    <r>
      <rPr>
        <sz val="10"/>
        <color theme="1"/>
        <rFont val="돋움"/>
        <family val="3"/>
        <charset val="129"/>
      </rPr>
      <t>있었으나</t>
    </r>
    <r>
      <rPr>
        <sz val="10"/>
        <color theme="1"/>
        <rFont val="Arial"/>
        <family val="2"/>
      </rPr>
      <t xml:space="preserve"> 36Gy/18fx</t>
    </r>
    <r>
      <rPr>
        <sz val="10"/>
        <color theme="1"/>
        <rFont val="돋움"/>
        <family val="3"/>
        <charset val="129"/>
      </rPr>
      <t>까지만</t>
    </r>
    <r>
      <rPr>
        <sz val="10"/>
        <color theme="1"/>
        <rFont val="Arial"/>
        <family val="2"/>
      </rPr>
      <t xml:space="preserve"> </t>
    </r>
    <r>
      <rPr>
        <sz val="10"/>
        <color theme="1"/>
        <rFont val="돋움"/>
        <family val="3"/>
        <charset val="129"/>
      </rPr>
      <t>실시함</t>
    </r>
    <r>
      <rPr>
        <sz val="10"/>
        <color theme="1"/>
        <rFont val="Arial"/>
        <family val="2"/>
      </rPr>
      <t xml:space="preserve">. </t>
    </r>
    <r>
      <rPr>
        <sz val="10"/>
        <color theme="1"/>
        <rFont val="돋움"/>
        <family val="3"/>
        <charset val="129"/>
      </rPr>
      <t>나중에</t>
    </r>
    <r>
      <rPr>
        <sz val="10"/>
        <color theme="1"/>
        <rFont val="Arial"/>
        <family val="2"/>
      </rPr>
      <t xml:space="preserve"> </t>
    </r>
    <r>
      <rPr>
        <sz val="10"/>
        <color theme="1"/>
        <rFont val="돋움"/>
        <family val="3"/>
        <charset val="129"/>
      </rPr>
      <t>수술을</t>
    </r>
    <r>
      <rPr>
        <sz val="10"/>
        <color theme="1"/>
        <rFont val="Arial"/>
        <family val="2"/>
      </rPr>
      <t xml:space="preserve"> </t>
    </r>
    <r>
      <rPr>
        <sz val="10"/>
        <color theme="1"/>
        <rFont val="돋움"/>
        <family val="3"/>
        <charset val="129"/>
      </rPr>
      <t>하기는</t>
    </r>
    <r>
      <rPr>
        <sz val="10"/>
        <color theme="1"/>
        <rFont val="Arial"/>
        <family val="2"/>
      </rPr>
      <t xml:space="preserve"> </t>
    </r>
    <r>
      <rPr>
        <sz val="10"/>
        <color theme="1"/>
        <rFont val="돋움"/>
        <family val="3"/>
        <charset val="129"/>
      </rPr>
      <t>했다</t>
    </r>
    <r>
      <rPr>
        <sz val="10"/>
        <color theme="1"/>
        <rFont val="Arial"/>
        <family val="2"/>
      </rPr>
      <t>.</t>
    </r>
    <phoneticPr fontId="2" type="noConversion"/>
  </si>
  <si>
    <t>류점열</t>
  </si>
  <si>
    <t>SNUH_211</t>
  </si>
  <si>
    <t>Neoadj CCRT --&gt; palliative chemo --&gt; surgery</t>
    <phoneticPr fontId="2" type="noConversion"/>
  </si>
  <si>
    <t>김형철</t>
  </si>
  <si>
    <t>SNUH_210</t>
  </si>
  <si>
    <r>
      <rPr>
        <sz val="10"/>
        <color theme="1"/>
        <rFont val="돋움"/>
        <family val="3"/>
        <charset val="129"/>
      </rPr>
      <t>본원에서</t>
    </r>
    <r>
      <rPr>
        <sz val="10"/>
        <color theme="1"/>
        <rFont val="Arial"/>
        <family val="2"/>
      </rPr>
      <t xml:space="preserve"> </t>
    </r>
    <r>
      <rPr>
        <sz val="10"/>
        <color theme="1"/>
        <rFont val="돋움"/>
        <family val="3"/>
        <charset val="129"/>
      </rPr>
      <t>수술</t>
    </r>
    <r>
      <rPr>
        <sz val="10"/>
        <color theme="1"/>
        <rFont val="Arial"/>
        <family val="2"/>
      </rPr>
      <t xml:space="preserve"> </t>
    </r>
    <r>
      <rPr>
        <sz val="10"/>
        <color theme="1"/>
        <rFont val="돋움"/>
        <family val="3"/>
        <charset val="129"/>
      </rPr>
      <t>시행받지</t>
    </r>
    <r>
      <rPr>
        <sz val="10"/>
        <color theme="1"/>
        <rFont val="Arial"/>
        <family val="2"/>
      </rPr>
      <t xml:space="preserve"> </t>
    </r>
    <r>
      <rPr>
        <sz val="10"/>
        <color theme="1"/>
        <rFont val="돋움"/>
        <family val="3"/>
        <charset val="129"/>
      </rPr>
      <t>않았고</t>
    </r>
    <r>
      <rPr>
        <sz val="10"/>
        <color theme="1"/>
        <rFont val="Arial"/>
        <family val="2"/>
      </rPr>
      <t xml:space="preserve"> </t>
    </r>
    <r>
      <rPr>
        <sz val="10"/>
        <color theme="1"/>
        <rFont val="돋움"/>
        <family val="3"/>
        <charset val="129"/>
      </rPr>
      <t>이후</t>
    </r>
    <r>
      <rPr>
        <sz val="10"/>
        <color theme="1"/>
        <rFont val="Arial"/>
        <family val="2"/>
      </rPr>
      <t xml:space="preserve"> follow-up </t>
    </r>
    <r>
      <rPr>
        <sz val="10"/>
        <color theme="1"/>
        <rFont val="돋움"/>
        <family val="3"/>
        <charset val="129"/>
      </rPr>
      <t>없음</t>
    </r>
    <phoneticPr fontId="2" type="noConversion"/>
  </si>
  <si>
    <t>신동운</t>
  </si>
  <si>
    <t>SNUH_209</t>
  </si>
  <si>
    <r>
      <t xml:space="preserve">Double primary: Concomitant lung cancer --&gt; CCRT </t>
    </r>
    <r>
      <rPr>
        <sz val="10"/>
        <color theme="1"/>
        <rFont val="돋움"/>
        <family val="3"/>
        <charset val="129"/>
      </rPr>
      <t>함께</t>
    </r>
    <r>
      <rPr>
        <sz val="10"/>
        <color theme="1"/>
        <rFont val="Arial"/>
        <family val="2"/>
      </rPr>
      <t xml:space="preserve"> </t>
    </r>
    <r>
      <rPr>
        <sz val="10"/>
        <color theme="1"/>
        <rFont val="돋움"/>
        <family val="3"/>
        <charset val="129"/>
      </rPr>
      <t>진행함</t>
    </r>
    <phoneticPr fontId="2" type="noConversion"/>
  </si>
  <si>
    <t>변갑석</t>
  </si>
  <si>
    <t>SNUH_205</t>
  </si>
  <si>
    <r>
      <t>2016</t>
    </r>
    <r>
      <rPr>
        <sz val="10"/>
        <color theme="1"/>
        <rFont val="돋움"/>
        <family val="3"/>
        <charset val="129"/>
      </rPr>
      <t>년에</t>
    </r>
    <r>
      <rPr>
        <sz val="10"/>
        <color theme="1"/>
        <rFont val="Arial"/>
        <family val="2"/>
      </rPr>
      <t xml:space="preserve"> neck MUO</t>
    </r>
    <r>
      <rPr>
        <sz val="10"/>
        <color theme="1"/>
        <rFont val="돋움"/>
        <family val="3"/>
        <charset val="129"/>
      </rPr>
      <t>로</t>
    </r>
    <r>
      <rPr>
        <sz val="10"/>
        <color theme="1"/>
        <rFont val="Arial"/>
        <family val="2"/>
      </rPr>
      <t xml:space="preserve"> CCRT</t>
    </r>
    <r>
      <rPr>
        <sz val="10"/>
        <color theme="1"/>
        <rFont val="돋움"/>
        <family val="3"/>
        <charset val="129"/>
      </rPr>
      <t>를</t>
    </r>
    <r>
      <rPr>
        <sz val="10"/>
        <color theme="1"/>
        <rFont val="Arial"/>
        <family val="2"/>
      </rPr>
      <t xml:space="preserve"> </t>
    </r>
    <r>
      <rPr>
        <sz val="10"/>
        <color theme="1"/>
        <rFont val="돋움"/>
        <family val="3"/>
        <charset val="129"/>
      </rPr>
      <t>받은</t>
    </r>
    <r>
      <rPr>
        <sz val="10"/>
        <color theme="1"/>
        <rFont val="Arial"/>
        <family val="2"/>
      </rPr>
      <t xml:space="preserve"> </t>
    </r>
    <r>
      <rPr>
        <sz val="10"/>
        <color theme="1"/>
        <rFont val="돋움"/>
        <family val="3"/>
        <charset val="129"/>
      </rPr>
      <t>바</t>
    </r>
    <r>
      <rPr>
        <sz val="10"/>
        <color theme="1"/>
        <rFont val="Arial"/>
        <family val="2"/>
      </rPr>
      <t xml:space="preserve"> </t>
    </r>
    <r>
      <rPr>
        <sz val="10"/>
        <color theme="1"/>
        <rFont val="돋움"/>
        <family val="3"/>
        <charset val="129"/>
      </rPr>
      <t>있음</t>
    </r>
    <r>
      <rPr>
        <sz val="10"/>
        <color theme="1"/>
        <rFont val="Arial"/>
        <family val="2"/>
      </rPr>
      <t>.</t>
    </r>
    <phoneticPr fontId="2" type="noConversion"/>
  </si>
  <si>
    <t>김인영</t>
  </si>
  <si>
    <t>SNUH_203</t>
  </si>
  <si>
    <r>
      <t xml:space="preserve">Incomplete RT: 45Gy </t>
    </r>
    <r>
      <rPr>
        <sz val="10"/>
        <color theme="1"/>
        <rFont val="돋움"/>
        <family val="3"/>
        <charset val="129"/>
      </rPr>
      <t>계획되어</t>
    </r>
    <r>
      <rPr>
        <sz val="10"/>
        <color theme="1"/>
        <rFont val="Arial"/>
        <family val="2"/>
      </rPr>
      <t xml:space="preserve"> </t>
    </r>
    <r>
      <rPr>
        <sz val="10"/>
        <color theme="1"/>
        <rFont val="돋움"/>
        <family val="3"/>
        <charset val="129"/>
      </rPr>
      <t>있었으나</t>
    </r>
    <r>
      <rPr>
        <sz val="10"/>
        <color theme="1"/>
        <rFont val="Arial"/>
        <family val="2"/>
      </rPr>
      <t xml:space="preserve"> 28.8Gy</t>
    </r>
    <r>
      <rPr>
        <sz val="10"/>
        <color theme="1"/>
        <rFont val="돋움"/>
        <family val="3"/>
        <charset val="129"/>
      </rPr>
      <t>까지만</t>
    </r>
    <r>
      <rPr>
        <sz val="10"/>
        <color theme="1"/>
        <rFont val="Arial"/>
        <family val="2"/>
      </rPr>
      <t xml:space="preserve"> </t>
    </r>
    <r>
      <rPr>
        <sz val="10"/>
        <color theme="1"/>
        <rFont val="돋움"/>
        <family val="3"/>
        <charset val="129"/>
      </rPr>
      <t>시행함</t>
    </r>
    <r>
      <rPr>
        <sz val="10"/>
        <color theme="1"/>
        <rFont val="Arial"/>
        <family val="2"/>
      </rPr>
      <t>.</t>
    </r>
    <phoneticPr fontId="2" type="noConversion"/>
  </si>
  <si>
    <t>최태범</t>
    <phoneticPr fontId="2" type="noConversion"/>
  </si>
  <si>
    <t>SNUH_202</t>
  </si>
  <si>
    <r>
      <t>(</t>
    </r>
    <r>
      <rPr>
        <sz val="10"/>
        <color theme="1"/>
        <rFont val="돋움"/>
        <family val="3"/>
        <charset val="129"/>
      </rPr>
      <t>타원에서</t>
    </r>
    <r>
      <rPr>
        <sz val="10"/>
        <color theme="1"/>
        <rFont val="Arial"/>
        <family val="2"/>
      </rPr>
      <t xml:space="preserve"> </t>
    </r>
    <r>
      <rPr>
        <sz val="10"/>
        <color theme="1"/>
        <rFont val="돋움"/>
        <family val="3"/>
        <charset val="129"/>
      </rPr>
      <t>했는지</t>
    </r>
    <r>
      <rPr>
        <sz val="10"/>
        <color theme="1"/>
        <rFont val="Arial"/>
        <family val="2"/>
      </rPr>
      <t xml:space="preserve"> </t>
    </r>
    <r>
      <rPr>
        <sz val="10"/>
        <color theme="1"/>
        <rFont val="돋움"/>
        <family val="3"/>
        <charset val="129"/>
      </rPr>
      <t>명확하지</t>
    </r>
    <r>
      <rPr>
        <sz val="10"/>
        <color theme="1"/>
        <rFont val="Arial"/>
        <family val="2"/>
      </rPr>
      <t xml:space="preserve"> </t>
    </r>
    <r>
      <rPr>
        <sz val="10"/>
        <color theme="1"/>
        <rFont val="돋움"/>
        <family val="3"/>
        <charset val="129"/>
      </rPr>
      <t>않다</t>
    </r>
    <r>
      <rPr>
        <sz val="10"/>
        <color theme="1"/>
        <rFont val="Arial"/>
        <family val="2"/>
      </rPr>
      <t>)</t>
    </r>
    <phoneticPr fontId="2" type="noConversion"/>
  </si>
  <si>
    <t>.</t>
    <phoneticPr fontId="2" type="noConversion"/>
  </si>
  <si>
    <t>0.7-1.0</t>
    <phoneticPr fontId="2" type="noConversion"/>
  </si>
  <si>
    <t>0.5</t>
    <phoneticPr fontId="2" type="noConversion"/>
  </si>
  <si>
    <t>2.0</t>
    <phoneticPr fontId="2" type="noConversion"/>
  </si>
  <si>
    <t>1</t>
    <phoneticPr fontId="2" type="noConversion"/>
  </si>
  <si>
    <t>0</t>
    <phoneticPr fontId="2" type="noConversion"/>
  </si>
  <si>
    <r>
      <t>Follow-up visit</t>
    </r>
    <r>
      <rPr>
        <sz val="10"/>
        <color theme="1"/>
        <rFont val="돋움"/>
        <family val="3"/>
        <charset val="129"/>
      </rPr>
      <t>이</t>
    </r>
    <r>
      <rPr>
        <sz val="10"/>
        <color theme="1"/>
        <rFont val="Arial"/>
        <family val="2"/>
      </rPr>
      <t xml:space="preserve"> CCRT </t>
    </r>
    <r>
      <rPr>
        <sz val="10"/>
        <color theme="1"/>
        <rFont val="돋움"/>
        <family val="3"/>
        <charset val="129"/>
      </rPr>
      <t>종료</t>
    </r>
    <r>
      <rPr>
        <sz val="10"/>
        <color theme="1"/>
        <rFont val="Arial"/>
        <family val="2"/>
      </rPr>
      <t xml:space="preserve"> </t>
    </r>
    <r>
      <rPr>
        <sz val="10"/>
        <color theme="1"/>
        <rFont val="돋움"/>
        <family val="3"/>
        <charset val="129"/>
      </rPr>
      <t>이후</t>
    </r>
    <r>
      <rPr>
        <sz val="10"/>
        <color theme="1"/>
        <rFont val="Arial"/>
        <family val="2"/>
      </rPr>
      <t xml:space="preserve"> </t>
    </r>
    <r>
      <rPr>
        <sz val="10"/>
        <color theme="1"/>
        <rFont val="돋움"/>
        <family val="3"/>
        <charset val="129"/>
      </rPr>
      <t>단</t>
    </r>
    <r>
      <rPr>
        <sz val="10"/>
        <color theme="1"/>
        <rFont val="Arial"/>
        <family val="2"/>
      </rPr>
      <t xml:space="preserve"> </t>
    </r>
    <r>
      <rPr>
        <sz val="10"/>
        <color theme="1"/>
        <rFont val="돋움"/>
        <family val="3"/>
        <charset val="129"/>
      </rPr>
      <t>한번도</t>
    </r>
    <r>
      <rPr>
        <sz val="10"/>
        <color theme="1"/>
        <rFont val="Arial"/>
        <family val="2"/>
      </rPr>
      <t xml:space="preserve"> </t>
    </r>
    <r>
      <rPr>
        <sz val="10"/>
        <color theme="1"/>
        <rFont val="돋움"/>
        <family val="3"/>
        <charset val="129"/>
      </rPr>
      <t>없다</t>
    </r>
    <r>
      <rPr>
        <sz val="10"/>
        <color theme="1"/>
        <rFont val="Arial"/>
        <family val="2"/>
      </rPr>
      <t>.</t>
    </r>
    <phoneticPr fontId="2" type="noConversion"/>
  </si>
  <si>
    <t>신종만</t>
  </si>
  <si>
    <t>SNUH_201</t>
  </si>
  <si>
    <t>peripancreatic LN -&gt; Lt SCN</t>
    <phoneticPr fontId="2" type="noConversion"/>
  </si>
  <si>
    <t>pall FP #3 (20.5.25~ 20.7.25) -&gt; nivolumab</t>
    <phoneticPr fontId="2" type="noConversion"/>
  </si>
  <si>
    <t>out, distal</t>
    <phoneticPr fontId="2" type="noConversion"/>
  </si>
  <si>
    <t>perigastric, paraesophageal and peripancreatic LN (2020/5/4) --&gt; Lt SCN (2020/11/8)</t>
    <phoneticPr fontId="2" type="noConversion"/>
  </si>
  <si>
    <t>progression</t>
    <phoneticPr fontId="2" type="noConversion"/>
  </si>
  <si>
    <r>
      <t>(</t>
    </r>
    <r>
      <rPr>
        <sz val="10"/>
        <color theme="1"/>
        <rFont val="돋움"/>
        <family val="3"/>
        <charset val="129"/>
      </rPr>
      <t>수술</t>
    </r>
    <r>
      <rPr>
        <sz val="10"/>
        <color theme="1"/>
        <rFont val="Arial"/>
        <family val="2"/>
      </rPr>
      <t xml:space="preserve"> </t>
    </r>
    <r>
      <rPr>
        <sz val="10"/>
        <color theme="1"/>
        <rFont val="돋움"/>
        <family val="3"/>
        <charset val="129"/>
      </rPr>
      <t>전</t>
    </r>
    <r>
      <rPr>
        <sz val="10"/>
        <color theme="1"/>
        <rFont val="Arial"/>
        <family val="2"/>
      </rPr>
      <t xml:space="preserve"> PTE </t>
    </r>
    <r>
      <rPr>
        <sz val="10"/>
        <color theme="1"/>
        <rFont val="돋움"/>
        <family val="3"/>
        <charset val="129"/>
      </rPr>
      <t>발견되어</t>
    </r>
    <r>
      <rPr>
        <sz val="10"/>
        <color theme="1"/>
        <rFont val="Arial"/>
        <family val="2"/>
      </rPr>
      <t xml:space="preserve"> </t>
    </r>
    <r>
      <rPr>
        <sz val="10"/>
        <color theme="1"/>
        <rFont val="돋움"/>
        <family val="3"/>
        <charset val="129"/>
      </rPr>
      <t>늦어졌다가</t>
    </r>
    <r>
      <rPr>
        <sz val="10"/>
        <color theme="1"/>
        <rFont val="Arial"/>
        <family val="2"/>
      </rPr>
      <t xml:space="preserve"> </t>
    </r>
    <r>
      <rPr>
        <sz val="10"/>
        <color theme="1"/>
        <rFont val="돋움"/>
        <family val="3"/>
        <charset val="129"/>
      </rPr>
      <t>재발</t>
    </r>
    <r>
      <rPr>
        <sz val="10"/>
        <color theme="1"/>
        <rFont val="Arial"/>
        <family val="2"/>
      </rPr>
      <t xml:space="preserve"> </t>
    </r>
    <r>
      <rPr>
        <sz val="10"/>
        <color theme="1"/>
        <rFont val="돋움"/>
        <family val="3"/>
        <charset val="129"/>
      </rPr>
      <t>확인</t>
    </r>
    <r>
      <rPr>
        <sz val="10"/>
        <color theme="1"/>
        <rFont val="Arial"/>
        <family val="2"/>
      </rPr>
      <t>)</t>
    </r>
    <phoneticPr fontId="2" type="noConversion"/>
  </si>
  <si>
    <t>paclitaxel, carboplatin</t>
    <phoneticPr fontId="2" type="noConversion"/>
  </si>
  <si>
    <t>wTC</t>
    <phoneticPr fontId="2" type="noConversion"/>
  </si>
  <si>
    <t>imrt</t>
    <phoneticPr fontId="2" type="noConversion"/>
  </si>
  <si>
    <t>eso mass</t>
    <phoneticPr fontId="2" type="noConversion"/>
  </si>
  <si>
    <t>x</t>
    <phoneticPr fontId="2" type="noConversion"/>
  </si>
  <si>
    <t>II</t>
    <phoneticPr fontId="2" type="noConversion"/>
  </si>
  <si>
    <t>cT3M0M0</t>
    <phoneticPr fontId="2" type="noConversion"/>
  </si>
  <si>
    <t>lower</t>
    <phoneticPr fontId="2" type="noConversion"/>
  </si>
  <si>
    <t>33-38</t>
    <phoneticPr fontId="2" type="noConversion"/>
  </si>
  <si>
    <t>MD</t>
    <phoneticPr fontId="2" type="noConversion"/>
  </si>
  <si>
    <t>김영호</t>
  </si>
  <si>
    <t>SNUH_198</t>
  </si>
  <si>
    <t>Double primary: laryngeal ca. in 2017, cT1aN2bM0</t>
    <phoneticPr fontId="2" type="noConversion"/>
  </si>
  <si>
    <t>오화옥</t>
  </si>
  <si>
    <t>SNUH_195</t>
  </si>
  <si>
    <t>NED</t>
    <phoneticPr fontId="2" type="noConversion"/>
  </si>
  <si>
    <t>(Op refused)</t>
  </si>
  <si>
    <t>cisplatin</t>
  </si>
  <si>
    <t>wCDDP</t>
  </si>
  <si>
    <t>cT3N0M0</t>
    <phoneticPr fontId="2" type="noConversion"/>
  </si>
  <si>
    <t>middle</t>
    <phoneticPr fontId="2" type="noConversion"/>
  </si>
  <si>
    <t>PD</t>
    <phoneticPr fontId="2" type="noConversion"/>
  </si>
  <si>
    <t>유한호</t>
  </si>
  <si>
    <t>SNUH_194</t>
  </si>
  <si>
    <t>lung, Lt SCN, neck</t>
    <phoneticPr fontId="2" type="noConversion"/>
  </si>
  <si>
    <t>docetaxel -&gt; nivolumab</t>
    <phoneticPr fontId="2" type="noConversion"/>
  </si>
  <si>
    <t>In, distal</t>
    <phoneticPr fontId="2" type="noConversion"/>
  </si>
  <si>
    <t>local, mediastinal LN, Lt SCL, Lt neck, multiple lung</t>
    <phoneticPr fontId="2" type="noConversion"/>
  </si>
  <si>
    <t>hospice</t>
    <phoneticPr fontId="2" type="noConversion"/>
  </si>
  <si>
    <t>O&amp;C d/t aorta invasion</t>
    <phoneticPr fontId="2" type="noConversion"/>
  </si>
  <si>
    <t>5-FU, cisplatin</t>
  </si>
  <si>
    <t>FP</t>
  </si>
  <si>
    <t>0.5-0.7</t>
    <phoneticPr fontId="2" type="noConversion"/>
  </si>
  <si>
    <t>eso mass, gross LNs</t>
    <phoneticPr fontId="2" type="noConversion"/>
  </si>
  <si>
    <t>med/scl</t>
    <phoneticPr fontId="2" type="noConversion"/>
  </si>
  <si>
    <t>Right supraclavicular fossa, bilateral upper paratracheal, right lower paratracheal areas</t>
    <phoneticPr fontId="2" type="noConversion"/>
  </si>
  <si>
    <t>IVB</t>
    <phoneticPr fontId="2" type="noConversion"/>
  </si>
  <si>
    <t>cTxN1M1</t>
    <phoneticPr fontId="2" type="noConversion"/>
  </si>
  <si>
    <t>upper/middle</t>
    <phoneticPr fontId="2" type="noConversion"/>
  </si>
  <si>
    <t>백운</t>
  </si>
  <si>
    <t>SNUH_192</t>
    <phoneticPr fontId="2" type="noConversion"/>
  </si>
  <si>
    <t>neoadj (-&gt; radical?)</t>
    <phoneticPr fontId="2" type="noConversion"/>
  </si>
  <si>
    <t>Double primary: prostate ca.</t>
    <phoneticPr fontId="2" type="noConversion"/>
  </si>
  <si>
    <t>강선길</t>
    <phoneticPr fontId="2" type="noConversion"/>
  </si>
  <si>
    <t>SNUH_189</t>
  </si>
  <si>
    <t xml:space="preserve">FP#2('15.11.24~'15.12.19) </t>
  </si>
  <si>
    <t>in-field</t>
    <phoneticPr fontId="2" type="noConversion"/>
  </si>
  <si>
    <t>local, mediastinal LN, lung, liver</t>
    <phoneticPr fontId="2" type="noConversion"/>
  </si>
  <si>
    <t>hopeless</t>
    <phoneticPr fontId="2" type="noConversion"/>
  </si>
  <si>
    <t>FP</t>
    <phoneticPr fontId="2" type="noConversion"/>
  </si>
  <si>
    <t>3d</t>
    <phoneticPr fontId="2" type="noConversion"/>
  </si>
  <si>
    <t>0.5-1.0</t>
    <phoneticPr fontId="2" type="noConversion"/>
  </si>
  <si>
    <t>including med. LN</t>
  </si>
  <si>
    <t>hypermetabolic mass / left upper patatracheal LN</t>
    <phoneticPr fontId="2" type="noConversion"/>
  </si>
  <si>
    <t>med</t>
    <phoneticPr fontId="2" type="noConversion"/>
  </si>
  <si>
    <t>left upper patatracheal LN</t>
  </si>
  <si>
    <t>III</t>
    <phoneticPr fontId="2" type="noConversion"/>
  </si>
  <si>
    <t>cT3N1M0</t>
    <phoneticPr fontId="2" type="noConversion"/>
  </si>
  <si>
    <t>한병갑</t>
    <phoneticPr fontId="2" type="noConversion"/>
  </si>
  <si>
    <t>SNUH_184</t>
  </si>
  <si>
    <t>Histology: poorly differentiated carcinoma</t>
    <phoneticPr fontId="2" type="noConversion"/>
  </si>
  <si>
    <t>김종철</t>
    <phoneticPr fontId="2" type="noConversion"/>
  </si>
  <si>
    <t>SNUH_182</t>
  </si>
  <si>
    <t>med elective</t>
    <phoneticPr fontId="2" type="noConversion"/>
  </si>
  <si>
    <t>esophageal mass, Lt gastric LN</t>
    <phoneticPr fontId="2" type="noConversion"/>
  </si>
  <si>
    <t>abd</t>
    <phoneticPr fontId="2" type="noConversion"/>
  </si>
  <si>
    <t>Lt gastric LN</t>
    <phoneticPr fontId="2" type="noConversion"/>
  </si>
  <si>
    <t>31-36</t>
    <phoneticPr fontId="2" type="noConversion"/>
  </si>
  <si>
    <r>
      <t>RT alone</t>
    </r>
    <r>
      <rPr>
        <sz val="10"/>
        <color theme="1"/>
        <rFont val="돋움"/>
        <family val="3"/>
        <charset val="129"/>
      </rPr>
      <t>으로</t>
    </r>
    <r>
      <rPr>
        <sz val="10"/>
        <color theme="1"/>
        <rFont val="Arial"/>
        <family val="2"/>
      </rPr>
      <t xml:space="preserve"> </t>
    </r>
    <r>
      <rPr>
        <sz val="10"/>
        <color theme="1"/>
        <rFont val="돋움"/>
        <family val="3"/>
        <charset val="129"/>
      </rPr>
      <t>진행함</t>
    </r>
    <r>
      <rPr>
        <sz val="10"/>
        <color theme="1"/>
        <rFont val="Arial"/>
        <family val="2"/>
      </rPr>
      <t>. Previous malignancy: RS-colon ca, s/p Laparo LAR 2012/2/7 -&gt; base of f/u</t>
    </r>
    <r>
      <rPr>
        <sz val="10"/>
        <color theme="1"/>
        <rFont val="돋움"/>
        <family val="3"/>
        <charset val="129"/>
      </rPr>
      <t>에서</t>
    </r>
    <r>
      <rPr>
        <sz val="10"/>
        <color theme="1"/>
        <rFont val="Arial"/>
        <family val="2"/>
      </rPr>
      <t xml:space="preserve"> 5</t>
    </r>
    <r>
      <rPr>
        <sz val="10"/>
        <color theme="1"/>
        <rFont val="돋움"/>
        <family val="3"/>
        <charset val="129"/>
      </rPr>
      <t>년</t>
    </r>
    <r>
      <rPr>
        <sz val="10"/>
        <color theme="1"/>
        <rFont val="Arial"/>
        <family val="2"/>
      </rPr>
      <t xml:space="preserve"> </t>
    </r>
    <r>
      <rPr>
        <sz val="10"/>
        <color theme="1"/>
        <rFont val="돋움"/>
        <family val="3"/>
        <charset val="129"/>
      </rPr>
      <t>지났으니까</t>
    </r>
    <r>
      <rPr>
        <sz val="10"/>
        <color theme="1"/>
        <rFont val="Arial"/>
        <family val="2"/>
      </rPr>
      <t xml:space="preserve"> </t>
    </r>
    <r>
      <rPr>
        <sz val="10"/>
        <color theme="1"/>
        <rFont val="돋움"/>
        <family val="3"/>
        <charset val="129"/>
      </rPr>
      <t>이건</t>
    </r>
    <r>
      <rPr>
        <sz val="10"/>
        <color theme="1"/>
        <rFont val="Arial"/>
        <family val="2"/>
      </rPr>
      <t xml:space="preserve"> </t>
    </r>
    <r>
      <rPr>
        <sz val="10"/>
        <color theme="1"/>
        <rFont val="돋움"/>
        <family val="3"/>
        <charset val="129"/>
      </rPr>
      <t>됬다</t>
    </r>
    <r>
      <rPr>
        <sz val="10"/>
        <color theme="1"/>
        <rFont val="Arial"/>
        <family val="2"/>
      </rPr>
      <t>.</t>
    </r>
    <phoneticPr fontId="2" type="noConversion"/>
  </si>
  <si>
    <t>서기준</t>
    <phoneticPr fontId="2" type="noConversion"/>
  </si>
  <si>
    <t>SNUH_177</t>
  </si>
  <si>
    <t>multipple bone / periportal LN &amp; Lt PAN</t>
    <phoneticPr fontId="2" type="noConversion"/>
  </si>
  <si>
    <t>pall chemo</t>
    <phoneticPr fontId="2" type="noConversion"/>
  </si>
  <si>
    <t>distal</t>
    <phoneticPr fontId="2" type="noConversion"/>
  </si>
  <si>
    <t>best supportive care</t>
    <phoneticPr fontId="2" type="noConversion"/>
  </si>
  <si>
    <t>Rt. Neck, both SCL, med elective</t>
    <phoneticPr fontId="2" type="noConversion"/>
  </si>
  <si>
    <t>node, esophagus mass (PET)</t>
  </si>
  <si>
    <t>neck/med</t>
    <phoneticPr fontId="2" type="noConversion"/>
  </si>
  <si>
    <t>1R, 2R / Rt neck lvl III</t>
    <phoneticPr fontId="2" type="noConversion"/>
  </si>
  <si>
    <t>cT4aN1M1</t>
    <phoneticPr fontId="2" type="noConversion"/>
  </si>
  <si>
    <t>upper</t>
    <phoneticPr fontId="2" type="noConversion"/>
  </si>
  <si>
    <t>22-26</t>
    <phoneticPr fontId="2" type="noConversion"/>
  </si>
  <si>
    <t>오경석</t>
    <phoneticPr fontId="2" type="noConversion"/>
  </si>
  <si>
    <t>SNUH_165</t>
  </si>
  <si>
    <t>liver -&gt; lung</t>
    <phoneticPr fontId="2" type="noConversion"/>
  </si>
  <si>
    <t>distal -&gt; in-field</t>
    <phoneticPr fontId="2" type="noConversion"/>
  </si>
  <si>
    <t>liver -&gt; mediastinal &amp; abd LN, lung</t>
    <phoneticPr fontId="2" type="noConversion"/>
  </si>
  <si>
    <t>esophagus mass / perigastric LN</t>
    <phoneticPr fontId="2" type="noConversion"/>
  </si>
  <si>
    <t>med/abd</t>
    <phoneticPr fontId="2" type="noConversion"/>
  </si>
  <si>
    <t>Rt. upper paratracheal LN, perigastric LN</t>
    <phoneticPr fontId="2" type="noConversion"/>
  </si>
  <si>
    <t>middle/lower</t>
    <phoneticPr fontId="2" type="noConversion"/>
  </si>
  <si>
    <t>32-40</t>
    <phoneticPr fontId="2" type="noConversion"/>
  </si>
  <si>
    <t>고수진</t>
    <phoneticPr fontId="2" type="noConversion"/>
  </si>
  <si>
    <t>SNUH_164</t>
  </si>
  <si>
    <t>palliative</t>
    <phoneticPr fontId="2" type="noConversion"/>
  </si>
  <si>
    <t>Aim: palliation</t>
    <phoneticPr fontId="2" type="noConversion"/>
  </si>
  <si>
    <t>한정수</t>
    <phoneticPr fontId="2" type="noConversion"/>
  </si>
  <si>
    <t>SNUH_163</t>
  </si>
  <si>
    <t>Histology: adenocarcinoma</t>
    <phoneticPr fontId="2" type="noConversion"/>
  </si>
  <si>
    <t>김원선</t>
    <phoneticPr fontId="2" type="noConversion"/>
  </si>
  <si>
    <t>SNUH_162</t>
  </si>
  <si>
    <t>WD</t>
    <phoneticPr fontId="2" type="noConversion"/>
  </si>
  <si>
    <r>
      <t>Double primary: esophagus</t>
    </r>
    <r>
      <rPr>
        <sz val="10"/>
        <color theme="1"/>
        <rFont val="돋움"/>
        <family val="3"/>
        <charset val="129"/>
      </rPr>
      <t>랑</t>
    </r>
    <r>
      <rPr>
        <sz val="10"/>
        <color theme="1"/>
        <rFont val="Arial"/>
        <family val="2"/>
      </rPr>
      <t xml:space="preserve"> stomach</t>
    </r>
    <r>
      <rPr>
        <sz val="10"/>
        <color theme="1"/>
        <rFont val="돋움"/>
        <family val="3"/>
        <charset val="129"/>
      </rPr>
      <t>의</t>
    </r>
    <r>
      <rPr>
        <sz val="10"/>
        <color theme="1"/>
        <rFont val="Arial"/>
        <family val="2"/>
      </rPr>
      <t xml:space="preserve"> ESD </t>
    </r>
    <r>
      <rPr>
        <sz val="10"/>
        <color theme="1"/>
        <rFont val="돋움"/>
        <family val="3"/>
        <charset val="129"/>
      </rPr>
      <t>시도해서</t>
    </r>
    <r>
      <rPr>
        <sz val="10"/>
        <color theme="1"/>
        <rFont val="Arial"/>
        <family val="2"/>
      </rPr>
      <t xml:space="preserve"> esophagus</t>
    </r>
    <r>
      <rPr>
        <sz val="10"/>
        <color theme="1"/>
        <rFont val="돋움"/>
        <family val="3"/>
        <charset val="129"/>
      </rPr>
      <t>는</t>
    </r>
    <r>
      <rPr>
        <sz val="10"/>
        <color theme="1"/>
        <rFont val="Arial"/>
        <family val="2"/>
      </rPr>
      <t xml:space="preserve"> SqCC, stomach</t>
    </r>
    <r>
      <rPr>
        <sz val="10"/>
        <color theme="1"/>
        <rFont val="돋움"/>
        <family val="3"/>
        <charset val="129"/>
      </rPr>
      <t>은</t>
    </r>
    <r>
      <rPr>
        <sz val="10"/>
        <color theme="1"/>
        <rFont val="Arial"/>
        <family val="2"/>
      </rPr>
      <t xml:space="preserve"> adenocarcinoma </t>
    </r>
    <r>
      <rPr>
        <sz val="10"/>
        <color theme="1"/>
        <rFont val="돋움"/>
        <family val="3"/>
        <charset val="129"/>
      </rPr>
      <t>나왔음</t>
    </r>
    <r>
      <rPr>
        <sz val="10"/>
        <color theme="1"/>
        <rFont val="Arial"/>
        <family val="2"/>
      </rPr>
      <t xml:space="preserve">. </t>
    </r>
    <r>
      <rPr>
        <sz val="10"/>
        <color theme="1"/>
        <rFont val="돋움"/>
        <family val="3"/>
        <charset val="129"/>
      </rPr>
      <t>엄밀하게</t>
    </r>
    <r>
      <rPr>
        <sz val="10"/>
        <color theme="1"/>
        <rFont val="Arial"/>
        <family val="2"/>
      </rPr>
      <t xml:space="preserve"> </t>
    </r>
    <r>
      <rPr>
        <sz val="10"/>
        <color theme="1"/>
        <rFont val="돋움"/>
        <family val="3"/>
        <charset val="129"/>
      </rPr>
      <t>말해서</t>
    </r>
    <r>
      <rPr>
        <sz val="10"/>
        <color theme="1"/>
        <rFont val="Arial"/>
        <family val="2"/>
      </rPr>
      <t xml:space="preserve"> double primary</t>
    </r>
    <r>
      <rPr>
        <sz val="10"/>
        <color theme="1"/>
        <rFont val="돋움"/>
        <family val="3"/>
        <charset val="129"/>
      </rPr>
      <t>임</t>
    </r>
    <r>
      <rPr>
        <sz val="10"/>
        <color theme="1"/>
        <rFont val="Arial"/>
        <family val="2"/>
      </rPr>
      <t>.</t>
    </r>
    <phoneticPr fontId="2" type="noConversion"/>
  </si>
  <si>
    <t>강호</t>
    <phoneticPr fontId="2" type="noConversion"/>
  </si>
  <si>
    <t>SNUH_160</t>
  </si>
  <si>
    <t>med abd elective</t>
    <phoneticPr fontId="2" type="noConversion"/>
  </si>
  <si>
    <t>mediastinum / celiac axis / distal esophagus</t>
    <phoneticPr fontId="2" type="noConversion"/>
  </si>
  <si>
    <t>Lt gastric LN, Rt lower paratracheal area</t>
    <phoneticPr fontId="2" type="noConversion"/>
  </si>
  <si>
    <t>35-37</t>
    <phoneticPr fontId="2" type="noConversion"/>
  </si>
  <si>
    <t>Double primary: floor of mouth ca (cT1N0M0)</t>
    <phoneticPr fontId="2" type="noConversion"/>
  </si>
  <si>
    <t>김종원</t>
    <phoneticPr fontId="2" type="noConversion"/>
  </si>
  <si>
    <t>SNUH_158</t>
  </si>
  <si>
    <t>both scl, med elective</t>
    <phoneticPr fontId="2" type="noConversion"/>
  </si>
  <si>
    <t>eso mass / Lt neck node</t>
    <phoneticPr fontId="2" type="noConversion"/>
  </si>
  <si>
    <t>scl</t>
    <phoneticPr fontId="2" type="noConversion"/>
  </si>
  <si>
    <t>Lt SCN or lower neck LN</t>
    <phoneticPr fontId="2" type="noConversion"/>
  </si>
  <si>
    <t>cT?N0M1</t>
    <phoneticPr fontId="2" type="noConversion"/>
  </si>
  <si>
    <t>definitive</t>
    <phoneticPr fontId="2" type="noConversion"/>
  </si>
  <si>
    <r>
      <t>Aim: definitive RT</t>
    </r>
    <r>
      <rPr>
        <sz val="10"/>
        <color theme="1"/>
        <rFont val="돋움"/>
        <family val="3"/>
        <charset val="129"/>
      </rPr>
      <t>로</t>
    </r>
    <r>
      <rPr>
        <sz val="10"/>
        <color theme="1"/>
        <rFont val="Arial"/>
        <family val="2"/>
      </rPr>
      <t xml:space="preserve"> </t>
    </r>
    <r>
      <rPr>
        <sz val="10"/>
        <color theme="1"/>
        <rFont val="돋움"/>
        <family val="3"/>
        <charset val="129"/>
      </rPr>
      <t>시작했다가</t>
    </r>
    <r>
      <rPr>
        <sz val="10"/>
        <color theme="1"/>
        <rFont val="Arial"/>
        <family val="2"/>
      </rPr>
      <t xml:space="preserve">, compliance </t>
    </r>
    <r>
      <rPr>
        <sz val="10"/>
        <color theme="1"/>
        <rFont val="돋움"/>
        <family val="3"/>
        <charset val="129"/>
      </rPr>
      <t>떨어지니까</t>
    </r>
    <r>
      <rPr>
        <sz val="10"/>
        <color theme="1"/>
        <rFont val="Arial"/>
        <family val="2"/>
      </rPr>
      <t xml:space="preserve"> 45Gy </t>
    </r>
    <r>
      <rPr>
        <sz val="10"/>
        <color theme="1"/>
        <rFont val="돋움"/>
        <family val="3"/>
        <charset val="129"/>
      </rPr>
      <t>시행</t>
    </r>
    <r>
      <rPr>
        <sz val="10"/>
        <color theme="1"/>
        <rFont val="Arial"/>
        <family val="2"/>
      </rPr>
      <t xml:space="preserve"> </t>
    </r>
    <r>
      <rPr>
        <sz val="10"/>
        <color theme="1"/>
        <rFont val="돋움"/>
        <family val="3"/>
        <charset val="129"/>
      </rPr>
      <t>이후에</t>
    </r>
    <r>
      <rPr>
        <sz val="10"/>
        <color theme="1"/>
        <rFont val="Arial"/>
        <family val="2"/>
      </rPr>
      <t xml:space="preserve"> TS </t>
    </r>
    <r>
      <rPr>
        <sz val="10"/>
        <color theme="1"/>
        <rFont val="돋움"/>
        <family val="3"/>
        <charset val="129"/>
      </rPr>
      <t>보자고</t>
    </r>
    <r>
      <rPr>
        <sz val="10"/>
        <color theme="1"/>
        <rFont val="Arial"/>
        <family val="2"/>
      </rPr>
      <t xml:space="preserve"> </t>
    </r>
    <r>
      <rPr>
        <sz val="10"/>
        <color theme="1"/>
        <rFont val="돋움"/>
        <family val="3"/>
        <charset val="129"/>
      </rPr>
      <t>그랬다</t>
    </r>
    <r>
      <rPr>
        <sz val="10"/>
        <color theme="1"/>
        <rFont val="Arial"/>
        <family val="2"/>
      </rPr>
      <t xml:space="preserve">. </t>
    </r>
    <r>
      <rPr>
        <sz val="10"/>
        <color theme="1"/>
        <rFont val="돋움"/>
        <family val="3"/>
        <charset val="129"/>
      </rPr>
      <t>그대로</t>
    </r>
    <r>
      <rPr>
        <sz val="10"/>
        <color theme="1"/>
        <rFont val="Arial"/>
        <family val="2"/>
      </rPr>
      <t xml:space="preserve"> follow-up loss </t>
    </r>
    <r>
      <rPr>
        <sz val="10"/>
        <color theme="1"/>
        <rFont val="돋움"/>
        <family val="3"/>
        <charset val="129"/>
      </rPr>
      <t>되었다가</t>
    </r>
    <r>
      <rPr>
        <sz val="10"/>
        <color theme="1"/>
        <rFont val="Arial"/>
        <family val="2"/>
      </rPr>
      <t xml:space="preserve">, </t>
    </r>
    <r>
      <rPr>
        <sz val="10"/>
        <color theme="1"/>
        <rFont val="돋움"/>
        <family val="3"/>
        <charset val="129"/>
      </rPr>
      <t>나머지</t>
    </r>
    <r>
      <rPr>
        <sz val="10"/>
        <color theme="1"/>
        <rFont val="Arial"/>
        <family val="2"/>
      </rPr>
      <t xml:space="preserve"> dose</t>
    </r>
    <r>
      <rPr>
        <sz val="10"/>
        <color theme="1"/>
        <rFont val="돋움"/>
        <family val="3"/>
        <charset val="129"/>
      </rPr>
      <t>를</t>
    </r>
    <r>
      <rPr>
        <sz val="10"/>
        <color theme="1"/>
        <rFont val="Arial"/>
        <family val="2"/>
      </rPr>
      <t xml:space="preserve"> </t>
    </r>
    <r>
      <rPr>
        <sz val="10"/>
        <color theme="1"/>
        <rFont val="돋움"/>
        <family val="3"/>
        <charset val="129"/>
      </rPr>
      <t>나중에</t>
    </r>
    <r>
      <rPr>
        <sz val="10"/>
        <color theme="1"/>
        <rFont val="Arial"/>
        <family val="2"/>
      </rPr>
      <t xml:space="preserve"> </t>
    </r>
    <r>
      <rPr>
        <sz val="10"/>
        <color theme="1"/>
        <rFont val="돋움"/>
        <family val="3"/>
        <charset val="129"/>
      </rPr>
      <t>했다</t>
    </r>
    <r>
      <rPr>
        <sz val="10"/>
        <color theme="1"/>
        <rFont val="Arial"/>
        <family val="2"/>
      </rPr>
      <t>.</t>
    </r>
    <phoneticPr fontId="2" type="noConversion"/>
  </si>
  <si>
    <t>이용권</t>
    <phoneticPr fontId="2" type="noConversion"/>
  </si>
  <si>
    <t>SNUH_156</t>
  </si>
  <si>
    <t>ypT3N2</t>
    <phoneticPr fontId="2" type="noConversion"/>
  </si>
  <si>
    <t>3-field</t>
    <phoneticPr fontId="2" type="noConversion"/>
  </si>
  <si>
    <t>Mckeown</t>
    <phoneticPr fontId="2" type="noConversion"/>
  </si>
  <si>
    <t>Robot-assisted Mckeown operation + 3-field LN dissection + VATS LLL wedge resection</t>
    <phoneticPr fontId="2" type="noConversion"/>
  </si>
  <si>
    <t>Middle esophageal mass / Gross LNs in stations 2,3,7,8</t>
    <phoneticPr fontId="2" type="noConversion"/>
  </si>
  <si>
    <t>2L, 3P, 7, 8</t>
    <phoneticPr fontId="2" type="noConversion"/>
  </si>
  <si>
    <t>cT3N2M0</t>
    <phoneticPr fontId="2" type="noConversion"/>
  </si>
  <si>
    <t>28-36</t>
    <phoneticPr fontId="2" type="noConversion"/>
  </si>
  <si>
    <r>
      <t xml:space="preserve">Double primary: </t>
    </r>
    <r>
      <rPr>
        <sz val="10"/>
        <color theme="1"/>
        <rFont val="돋움"/>
        <family val="3"/>
        <charset val="129"/>
      </rPr>
      <t>처음</t>
    </r>
    <r>
      <rPr>
        <sz val="10"/>
        <color theme="1"/>
        <rFont val="Arial"/>
        <family val="2"/>
      </rPr>
      <t xml:space="preserve"> esophageal cancer</t>
    </r>
    <r>
      <rPr>
        <sz val="10"/>
        <color theme="1"/>
        <rFont val="돋움"/>
        <family val="3"/>
        <charset val="129"/>
      </rPr>
      <t>의</t>
    </r>
    <r>
      <rPr>
        <sz val="10"/>
        <color theme="1"/>
        <rFont val="Arial"/>
        <family val="2"/>
      </rPr>
      <t xml:space="preserve"> metastasis</t>
    </r>
    <r>
      <rPr>
        <sz val="10"/>
        <color theme="1"/>
        <rFont val="돋움"/>
        <family val="3"/>
        <charset val="129"/>
      </rPr>
      <t>인줄</t>
    </r>
    <r>
      <rPr>
        <sz val="10"/>
        <color theme="1"/>
        <rFont val="Arial"/>
        <family val="2"/>
      </rPr>
      <t xml:space="preserve"> </t>
    </r>
    <r>
      <rPr>
        <sz val="10"/>
        <color theme="1"/>
        <rFont val="돋움"/>
        <family val="3"/>
        <charset val="129"/>
      </rPr>
      <t>알았던</t>
    </r>
    <r>
      <rPr>
        <sz val="10"/>
        <color theme="1"/>
        <rFont val="Arial"/>
        <family val="2"/>
      </rPr>
      <t xml:space="preserve"> LLL</t>
    </r>
    <r>
      <rPr>
        <sz val="10"/>
        <color theme="1"/>
        <rFont val="돋움"/>
        <family val="3"/>
        <charset val="129"/>
      </rPr>
      <t>은</t>
    </r>
    <r>
      <rPr>
        <sz val="10"/>
        <color theme="1"/>
        <rFont val="Arial"/>
        <family val="2"/>
      </rPr>
      <t xml:space="preserve"> lung adenocarcinoma</t>
    </r>
    <r>
      <rPr>
        <sz val="10"/>
        <color theme="1"/>
        <rFont val="돋움"/>
        <family val="3"/>
        <charset val="129"/>
      </rPr>
      <t>였다</t>
    </r>
    <r>
      <rPr>
        <sz val="10"/>
        <color theme="1"/>
        <rFont val="Arial"/>
        <family val="2"/>
      </rPr>
      <t>.</t>
    </r>
    <phoneticPr fontId="2" type="noConversion"/>
  </si>
  <si>
    <t>이권영</t>
    <phoneticPr fontId="2" type="noConversion"/>
  </si>
  <si>
    <t>SNUH_153</t>
  </si>
  <si>
    <t>neoadj -&gt; definitive</t>
    <phoneticPr fontId="2" type="noConversion"/>
  </si>
  <si>
    <r>
      <t>Aim: neoadjuvant</t>
    </r>
    <r>
      <rPr>
        <sz val="10"/>
        <color theme="1"/>
        <rFont val="돋움"/>
        <family val="3"/>
        <charset val="129"/>
      </rPr>
      <t>로</t>
    </r>
    <r>
      <rPr>
        <sz val="10"/>
        <color theme="1"/>
        <rFont val="Arial"/>
        <family val="2"/>
      </rPr>
      <t xml:space="preserve"> </t>
    </r>
    <r>
      <rPr>
        <sz val="10"/>
        <color theme="1"/>
        <rFont val="돋움"/>
        <family val="3"/>
        <charset val="129"/>
      </rPr>
      <t>시작하였는데</t>
    </r>
    <r>
      <rPr>
        <sz val="10"/>
        <color theme="1"/>
        <rFont val="Arial"/>
        <family val="2"/>
      </rPr>
      <t xml:space="preserve">, </t>
    </r>
    <r>
      <rPr>
        <sz val="10"/>
        <color theme="1"/>
        <rFont val="돋움"/>
        <family val="3"/>
        <charset val="129"/>
      </rPr>
      <t>환자</t>
    </r>
    <r>
      <rPr>
        <sz val="10"/>
        <color theme="1"/>
        <rFont val="Arial"/>
        <family val="2"/>
      </rPr>
      <t xml:space="preserve"> </t>
    </r>
    <r>
      <rPr>
        <sz val="10"/>
        <color theme="1"/>
        <rFont val="돋움"/>
        <family val="3"/>
        <charset val="129"/>
      </rPr>
      <t>의사였는지</t>
    </r>
    <r>
      <rPr>
        <sz val="10"/>
        <color theme="1"/>
        <rFont val="Arial"/>
        <family val="2"/>
      </rPr>
      <t xml:space="preserve"> </t>
    </r>
    <r>
      <rPr>
        <sz val="10"/>
        <color theme="1"/>
        <rFont val="돋움"/>
        <family val="3"/>
        <charset val="129"/>
      </rPr>
      <t>자세한</t>
    </r>
    <r>
      <rPr>
        <sz val="10"/>
        <color theme="1"/>
        <rFont val="Arial"/>
        <family val="2"/>
      </rPr>
      <t xml:space="preserve"> </t>
    </r>
    <r>
      <rPr>
        <sz val="10"/>
        <color theme="1"/>
        <rFont val="돋움"/>
        <family val="3"/>
        <charset val="129"/>
      </rPr>
      <t>설명이</t>
    </r>
    <r>
      <rPr>
        <sz val="10"/>
        <color theme="1"/>
        <rFont val="Arial"/>
        <family val="2"/>
      </rPr>
      <t xml:space="preserve"> </t>
    </r>
    <r>
      <rPr>
        <sz val="10"/>
        <color theme="1"/>
        <rFont val="돋움"/>
        <family val="3"/>
        <charset val="129"/>
      </rPr>
      <t>없어서</t>
    </r>
    <r>
      <rPr>
        <sz val="10"/>
        <color theme="1"/>
        <rFont val="Arial"/>
        <family val="2"/>
      </rPr>
      <t xml:space="preserve"> </t>
    </r>
    <r>
      <rPr>
        <sz val="10"/>
        <color theme="1"/>
        <rFont val="돋움"/>
        <family val="3"/>
        <charset val="129"/>
      </rPr>
      <t>잘</t>
    </r>
    <r>
      <rPr>
        <sz val="10"/>
        <color theme="1"/>
        <rFont val="Arial"/>
        <family val="2"/>
      </rPr>
      <t xml:space="preserve"> </t>
    </r>
    <r>
      <rPr>
        <sz val="10"/>
        <color theme="1"/>
        <rFont val="돋움"/>
        <family val="3"/>
        <charset val="129"/>
      </rPr>
      <t>모르겠다만</t>
    </r>
    <r>
      <rPr>
        <sz val="10"/>
        <color theme="1"/>
        <rFont val="Arial"/>
        <family val="2"/>
      </rPr>
      <t xml:space="preserve"> definitive</t>
    </r>
    <r>
      <rPr>
        <sz val="10"/>
        <color theme="1"/>
        <rFont val="돋움"/>
        <family val="3"/>
        <charset val="129"/>
      </rPr>
      <t>로</t>
    </r>
    <r>
      <rPr>
        <sz val="10"/>
        <color theme="1"/>
        <rFont val="Arial"/>
        <family val="2"/>
      </rPr>
      <t xml:space="preserve"> aim</t>
    </r>
    <r>
      <rPr>
        <sz val="10"/>
        <color theme="1"/>
        <rFont val="돋움"/>
        <family val="3"/>
        <charset val="129"/>
      </rPr>
      <t>을</t>
    </r>
    <r>
      <rPr>
        <sz val="10"/>
        <color theme="1"/>
        <rFont val="Arial"/>
        <family val="2"/>
      </rPr>
      <t xml:space="preserve"> </t>
    </r>
    <r>
      <rPr>
        <sz val="10"/>
        <color theme="1"/>
        <rFont val="돋움"/>
        <family val="3"/>
        <charset val="129"/>
      </rPr>
      <t>변경하고</t>
    </r>
    <r>
      <rPr>
        <sz val="10"/>
        <color theme="1"/>
        <rFont val="Arial"/>
        <family val="2"/>
      </rPr>
      <t xml:space="preserve"> 59.4Gy/33fx</t>
    </r>
    <r>
      <rPr>
        <sz val="10"/>
        <color theme="1"/>
        <rFont val="돋움"/>
        <family val="3"/>
        <charset val="129"/>
      </rPr>
      <t>까지</t>
    </r>
    <r>
      <rPr>
        <sz val="10"/>
        <color theme="1"/>
        <rFont val="Arial"/>
        <family val="2"/>
      </rPr>
      <t xml:space="preserve"> </t>
    </r>
    <r>
      <rPr>
        <sz val="10"/>
        <color theme="1"/>
        <rFont val="돋움"/>
        <family val="3"/>
        <charset val="129"/>
      </rPr>
      <t>시행함</t>
    </r>
    <r>
      <rPr>
        <sz val="10"/>
        <color theme="1"/>
        <rFont val="Arial"/>
        <family val="2"/>
      </rPr>
      <t>.</t>
    </r>
    <phoneticPr fontId="2" type="noConversion"/>
  </si>
  <si>
    <t>서종각</t>
    <phoneticPr fontId="2" type="noConversion"/>
  </si>
  <si>
    <t>SNUH_146</t>
  </si>
  <si>
    <t>neoadj -&gt; definitive?</t>
    <phoneticPr fontId="2" type="noConversion"/>
  </si>
  <si>
    <r>
      <t>Aim: neoadjvant</t>
    </r>
    <r>
      <rPr>
        <sz val="10"/>
        <color theme="1"/>
        <rFont val="돋움"/>
        <family val="3"/>
        <charset val="129"/>
      </rPr>
      <t>로</t>
    </r>
    <r>
      <rPr>
        <sz val="10"/>
        <color theme="1"/>
        <rFont val="Arial"/>
        <family val="2"/>
      </rPr>
      <t xml:space="preserve"> </t>
    </r>
    <r>
      <rPr>
        <sz val="10"/>
        <color theme="1"/>
        <rFont val="돋움"/>
        <family val="3"/>
        <charset val="129"/>
      </rPr>
      <t>시작하였으나</t>
    </r>
    <r>
      <rPr>
        <sz val="10"/>
        <color theme="1"/>
        <rFont val="Arial"/>
        <family val="2"/>
      </rPr>
      <t xml:space="preserve">, abd LN response </t>
    </r>
    <r>
      <rPr>
        <sz val="10"/>
        <color theme="1"/>
        <rFont val="돋움"/>
        <family val="3"/>
        <charset val="129"/>
      </rPr>
      <t>불량하다고</t>
    </r>
    <r>
      <rPr>
        <sz val="10"/>
        <color theme="1"/>
        <rFont val="Arial"/>
        <family val="2"/>
      </rPr>
      <t xml:space="preserve"> </t>
    </r>
    <r>
      <rPr>
        <sz val="10"/>
        <color theme="1"/>
        <rFont val="돋움"/>
        <family val="3"/>
        <charset val="129"/>
      </rPr>
      <t>수술</t>
    </r>
    <r>
      <rPr>
        <sz val="10"/>
        <color theme="1"/>
        <rFont val="Arial"/>
        <family val="2"/>
      </rPr>
      <t xml:space="preserve"> </t>
    </r>
    <r>
      <rPr>
        <sz val="10"/>
        <color theme="1"/>
        <rFont val="돋움"/>
        <family val="3"/>
        <charset val="129"/>
      </rPr>
      <t>취소하고</t>
    </r>
    <r>
      <rPr>
        <sz val="10"/>
        <color theme="1"/>
        <rFont val="Arial"/>
        <family val="2"/>
      </rPr>
      <t xml:space="preserve"> fraction </t>
    </r>
    <r>
      <rPr>
        <sz val="10"/>
        <color theme="1"/>
        <rFont val="돋움"/>
        <family val="3"/>
        <charset val="129"/>
      </rPr>
      <t>수</t>
    </r>
    <r>
      <rPr>
        <sz val="10"/>
        <color theme="1"/>
        <rFont val="Arial"/>
        <family val="2"/>
      </rPr>
      <t xml:space="preserve"> </t>
    </r>
    <r>
      <rPr>
        <sz val="10"/>
        <color theme="1"/>
        <rFont val="돋움"/>
        <family val="3"/>
        <charset val="129"/>
      </rPr>
      <t>추가해서</t>
    </r>
    <r>
      <rPr>
        <sz val="10"/>
        <color theme="1"/>
        <rFont val="Arial"/>
        <family val="2"/>
      </rPr>
      <t xml:space="preserve"> </t>
    </r>
    <r>
      <rPr>
        <sz val="10"/>
        <color theme="1"/>
        <rFont val="돋움"/>
        <family val="3"/>
        <charset val="129"/>
      </rPr>
      <t>끝냄</t>
    </r>
    <r>
      <rPr>
        <sz val="10"/>
        <color theme="1"/>
        <rFont val="Arial"/>
        <family val="2"/>
      </rPr>
      <t>. / Previous malignancy: tongue cancer, s/p op + PORT (1997)</t>
    </r>
    <phoneticPr fontId="2" type="noConversion"/>
  </si>
  <si>
    <t>박순희</t>
    <phoneticPr fontId="2" type="noConversion"/>
  </si>
  <si>
    <t>SNUH_144</t>
  </si>
  <si>
    <t>neoadj -&gt; palliaive (d/t PD during CCRT)</t>
    <phoneticPr fontId="2" type="noConversion"/>
  </si>
  <si>
    <r>
      <t xml:space="preserve">Aim: neoadjuvant RT </t>
    </r>
    <r>
      <rPr>
        <sz val="10"/>
        <color theme="1"/>
        <rFont val="돋움"/>
        <family val="3"/>
        <charset val="129"/>
      </rPr>
      <t>도중에</t>
    </r>
    <r>
      <rPr>
        <sz val="10"/>
        <color theme="1"/>
        <rFont val="Arial"/>
        <family val="2"/>
      </rPr>
      <t xml:space="preserve"> distant metastasis </t>
    </r>
    <r>
      <rPr>
        <sz val="10"/>
        <color theme="1"/>
        <rFont val="돋움"/>
        <family val="3"/>
        <charset val="129"/>
      </rPr>
      <t>있어서</t>
    </r>
    <r>
      <rPr>
        <sz val="10"/>
        <color theme="1"/>
        <rFont val="Arial"/>
        <family val="2"/>
      </rPr>
      <t xml:space="preserve"> palliative aim</t>
    </r>
    <r>
      <rPr>
        <sz val="10"/>
        <color theme="1"/>
        <rFont val="돋움"/>
        <family val="3"/>
        <charset val="129"/>
      </rPr>
      <t>으로</t>
    </r>
    <r>
      <rPr>
        <sz val="10"/>
        <color theme="1"/>
        <rFont val="Arial"/>
        <family val="2"/>
      </rPr>
      <t xml:space="preserve"> </t>
    </r>
    <r>
      <rPr>
        <sz val="10"/>
        <color theme="1"/>
        <rFont val="돋움"/>
        <family val="3"/>
        <charset val="129"/>
      </rPr>
      <t>변경</t>
    </r>
    <phoneticPr fontId="2" type="noConversion"/>
  </si>
  <si>
    <t>김관태</t>
    <phoneticPr fontId="2" type="noConversion"/>
  </si>
  <si>
    <t>SNUH_137</t>
  </si>
  <si>
    <t>김기정</t>
    <phoneticPr fontId="2" type="noConversion"/>
  </si>
  <si>
    <t>SNUH_136</t>
  </si>
  <si>
    <r>
      <t xml:space="preserve">Aim: </t>
    </r>
    <r>
      <rPr>
        <sz val="10"/>
        <color theme="1"/>
        <rFont val="돋움"/>
        <family val="3"/>
        <charset val="129"/>
      </rPr>
      <t>처음에</t>
    </r>
    <r>
      <rPr>
        <sz val="10"/>
        <color theme="1"/>
        <rFont val="Arial"/>
        <family val="2"/>
      </rPr>
      <t xml:space="preserve"> neoadj</t>
    </r>
    <r>
      <rPr>
        <sz val="10"/>
        <color theme="1"/>
        <rFont val="돋움"/>
        <family val="3"/>
        <charset val="129"/>
      </rPr>
      <t>를</t>
    </r>
    <r>
      <rPr>
        <sz val="10"/>
        <color theme="1"/>
        <rFont val="Arial"/>
        <family val="2"/>
      </rPr>
      <t xml:space="preserve"> </t>
    </r>
    <r>
      <rPr>
        <sz val="10"/>
        <color theme="1"/>
        <rFont val="돋움"/>
        <family val="3"/>
        <charset val="129"/>
      </rPr>
      <t>고려하였지만</t>
    </r>
    <r>
      <rPr>
        <sz val="10"/>
        <color theme="1"/>
        <rFont val="Arial"/>
        <family val="2"/>
      </rPr>
      <t>, 3VD</t>
    </r>
    <r>
      <rPr>
        <sz val="10"/>
        <color theme="1"/>
        <rFont val="돋움"/>
        <family val="3"/>
        <charset val="129"/>
      </rPr>
      <t>로</t>
    </r>
    <r>
      <rPr>
        <sz val="10"/>
        <color theme="1"/>
        <rFont val="Arial"/>
        <family val="2"/>
      </rPr>
      <t xml:space="preserve"> </t>
    </r>
    <r>
      <rPr>
        <sz val="10"/>
        <color theme="1"/>
        <rFont val="돋움"/>
        <family val="3"/>
        <charset val="129"/>
      </rPr>
      <t>인해서</t>
    </r>
    <r>
      <rPr>
        <sz val="10"/>
        <color theme="1"/>
        <rFont val="Arial"/>
        <family val="2"/>
      </rPr>
      <t xml:space="preserve"> definitive</t>
    </r>
    <r>
      <rPr>
        <sz val="10"/>
        <color theme="1"/>
        <rFont val="돋움"/>
        <family val="3"/>
        <charset val="129"/>
      </rPr>
      <t>로</t>
    </r>
    <r>
      <rPr>
        <sz val="10"/>
        <color theme="1"/>
        <rFont val="Arial"/>
        <family val="2"/>
      </rPr>
      <t xml:space="preserve"> </t>
    </r>
    <r>
      <rPr>
        <sz val="10"/>
        <color theme="1"/>
        <rFont val="돋움"/>
        <family val="3"/>
        <charset val="129"/>
      </rPr>
      <t>변경됨</t>
    </r>
    <phoneticPr fontId="2" type="noConversion"/>
  </si>
  <si>
    <t>서재연</t>
    <phoneticPr fontId="2" type="noConversion"/>
  </si>
  <si>
    <t>SNUH_133</t>
  </si>
  <si>
    <t>Pre-op</t>
    <phoneticPr fontId="2" type="noConversion"/>
  </si>
  <si>
    <r>
      <t>Incomplete RT: poor performance</t>
    </r>
    <r>
      <rPr>
        <sz val="10"/>
        <color theme="1"/>
        <rFont val="돋움"/>
        <family val="3"/>
        <charset val="129"/>
      </rPr>
      <t>로</t>
    </r>
    <r>
      <rPr>
        <sz val="10"/>
        <color theme="1"/>
        <rFont val="Arial"/>
        <family val="2"/>
      </rPr>
      <t xml:space="preserve"> 23.4Gy/13fx</t>
    </r>
    <r>
      <rPr>
        <sz val="10"/>
        <color theme="1"/>
        <rFont val="돋움"/>
        <family val="3"/>
        <charset val="129"/>
      </rPr>
      <t>에서</t>
    </r>
    <r>
      <rPr>
        <sz val="10"/>
        <color theme="1"/>
        <rFont val="Arial"/>
        <family val="2"/>
      </rPr>
      <t xml:space="preserve"> </t>
    </r>
    <r>
      <rPr>
        <sz val="10"/>
        <color theme="1"/>
        <rFont val="돋움"/>
        <family val="3"/>
        <charset val="129"/>
      </rPr>
      <t>중단</t>
    </r>
    <phoneticPr fontId="2" type="noConversion"/>
  </si>
  <si>
    <t>고형수</t>
    <phoneticPr fontId="2" type="noConversion"/>
  </si>
  <si>
    <t>SNUH_131</t>
  </si>
  <si>
    <r>
      <t xml:space="preserve">Aim: </t>
    </r>
    <r>
      <rPr>
        <sz val="10"/>
        <color theme="1"/>
        <rFont val="돋움"/>
        <family val="3"/>
        <charset val="129"/>
      </rPr>
      <t>처음에</t>
    </r>
    <r>
      <rPr>
        <sz val="10"/>
        <color theme="1"/>
        <rFont val="Arial"/>
        <family val="2"/>
      </rPr>
      <t xml:space="preserve"> neoadj</t>
    </r>
    <r>
      <rPr>
        <sz val="10"/>
        <color theme="1"/>
        <rFont val="돋움"/>
        <family val="3"/>
        <charset val="129"/>
      </rPr>
      <t>로</t>
    </r>
    <r>
      <rPr>
        <sz val="10"/>
        <color theme="1"/>
        <rFont val="Arial"/>
        <family val="2"/>
      </rPr>
      <t xml:space="preserve"> </t>
    </r>
    <r>
      <rPr>
        <sz val="10"/>
        <color theme="1"/>
        <rFont val="돋움"/>
        <family val="3"/>
        <charset val="129"/>
      </rPr>
      <t>계획했다가</t>
    </r>
    <r>
      <rPr>
        <sz val="10"/>
        <color theme="1"/>
        <rFont val="Arial"/>
        <family val="2"/>
      </rPr>
      <t xml:space="preserve"> </t>
    </r>
    <r>
      <rPr>
        <sz val="10"/>
        <color theme="1"/>
        <rFont val="돋움"/>
        <family val="3"/>
        <charset val="129"/>
      </rPr>
      <t>환자</t>
    </r>
    <r>
      <rPr>
        <sz val="10"/>
        <color theme="1"/>
        <rFont val="Arial"/>
        <family val="2"/>
      </rPr>
      <t xml:space="preserve"> </t>
    </r>
    <r>
      <rPr>
        <sz val="10"/>
        <color theme="1"/>
        <rFont val="돋움"/>
        <family val="3"/>
        <charset val="129"/>
      </rPr>
      <t>희망에</t>
    </r>
    <r>
      <rPr>
        <sz val="10"/>
        <color theme="1"/>
        <rFont val="Arial"/>
        <family val="2"/>
      </rPr>
      <t xml:space="preserve"> </t>
    </r>
    <r>
      <rPr>
        <sz val="10"/>
        <color theme="1"/>
        <rFont val="돋움"/>
        <family val="3"/>
        <charset val="129"/>
      </rPr>
      <t>따라서</t>
    </r>
    <r>
      <rPr>
        <sz val="10"/>
        <color theme="1"/>
        <rFont val="Arial"/>
        <family val="2"/>
      </rPr>
      <t xml:space="preserve"> definitive</t>
    </r>
    <r>
      <rPr>
        <sz val="10"/>
        <color theme="1"/>
        <rFont val="돋움"/>
        <family val="3"/>
        <charset val="129"/>
      </rPr>
      <t>로</t>
    </r>
    <r>
      <rPr>
        <sz val="10"/>
        <color theme="1"/>
        <rFont val="Arial"/>
        <family val="2"/>
      </rPr>
      <t xml:space="preserve"> </t>
    </r>
    <r>
      <rPr>
        <sz val="10"/>
        <color theme="1"/>
        <rFont val="돋움"/>
        <family val="3"/>
        <charset val="129"/>
      </rPr>
      <t>변경됨</t>
    </r>
    <phoneticPr fontId="2" type="noConversion"/>
  </si>
  <si>
    <t>표윤식</t>
    <phoneticPr fontId="2" type="noConversion"/>
  </si>
  <si>
    <t>SNUH_130</t>
  </si>
  <si>
    <t>adjuvant</t>
    <phoneticPr fontId="2" type="noConversion"/>
  </si>
  <si>
    <r>
      <t>Aim: Adjuvant CCRT</t>
    </r>
    <r>
      <rPr>
        <sz val="10"/>
        <color theme="1"/>
        <rFont val="돋움"/>
        <family val="3"/>
        <charset val="129"/>
      </rPr>
      <t>임</t>
    </r>
    <r>
      <rPr>
        <sz val="10"/>
        <color theme="1"/>
        <rFont val="Arial"/>
        <family val="2"/>
      </rPr>
      <t>.</t>
    </r>
    <phoneticPr fontId="2" type="noConversion"/>
  </si>
  <si>
    <t>이준삼</t>
    <phoneticPr fontId="2" type="noConversion"/>
  </si>
  <si>
    <t>SNUH_128</t>
  </si>
  <si>
    <r>
      <t xml:space="preserve">Incomplete RT: RT </t>
    </r>
    <r>
      <rPr>
        <sz val="10"/>
        <color theme="1"/>
        <rFont val="돋움"/>
        <family val="3"/>
        <charset val="129"/>
      </rPr>
      <t>도중에</t>
    </r>
    <r>
      <rPr>
        <sz val="10"/>
        <color theme="1"/>
        <rFont val="Arial"/>
        <family val="2"/>
      </rPr>
      <t xml:space="preserve"> tracheo-esophageal fistula </t>
    </r>
    <r>
      <rPr>
        <sz val="10"/>
        <color theme="1"/>
        <rFont val="돋움"/>
        <family val="3"/>
        <charset val="129"/>
      </rPr>
      <t>발생하여</t>
    </r>
    <r>
      <rPr>
        <sz val="10"/>
        <color theme="1"/>
        <rFont val="Arial"/>
        <family val="2"/>
      </rPr>
      <t xml:space="preserve"> 37.8Gy/21fx</t>
    </r>
    <r>
      <rPr>
        <sz val="10"/>
        <color theme="1"/>
        <rFont val="돋움"/>
        <family val="3"/>
        <charset val="129"/>
      </rPr>
      <t>에서</t>
    </r>
    <r>
      <rPr>
        <sz val="10"/>
        <color theme="1"/>
        <rFont val="Arial"/>
        <family val="2"/>
      </rPr>
      <t xml:space="preserve"> </t>
    </r>
    <r>
      <rPr>
        <sz val="10"/>
        <color theme="1"/>
        <rFont val="돋움"/>
        <family val="3"/>
        <charset val="129"/>
      </rPr>
      <t>중단</t>
    </r>
    <phoneticPr fontId="2" type="noConversion"/>
  </si>
  <si>
    <t>심건구</t>
    <phoneticPr fontId="2" type="noConversion"/>
  </si>
  <si>
    <t>SNUH_127</t>
  </si>
  <si>
    <t>neoadj vs definitive -&gt; definivie</t>
    <phoneticPr fontId="2" type="noConversion"/>
  </si>
  <si>
    <r>
      <t xml:space="preserve">Aim: </t>
    </r>
    <r>
      <rPr>
        <sz val="10"/>
        <color theme="1"/>
        <rFont val="돋움"/>
        <family val="3"/>
        <charset val="129"/>
      </rPr>
      <t>처음에</t>
    </r>
    <r>
      <rPr>
        <sz val="10"/>
        <color theme="1"/>
        <rFont val="Arial"/>
        <family val="2"/>
      </rPr>
      <t xml:space="preserve"> neoadj vs definitive</t>
    </r>
    <r>
      <rPr>
        <sz val="10"/>
        <color theme="1"/>
        <rFont val="돋움"/>
        <family val="3"/>
        <charset val="129"/>
      </rPr>
      <t>로</t>
    </r>
    <r>
      <rPr>
        <sz val="10"/>
        <color theme="1"/>
        <rFont val="Arial"/>
        <family val="2"/>
      </rPr>
      <t xml:space="preserve"> </t>
    </r>
    <r>
      <rPr>
        <sz val="10"/>
        <color theme="1"/>
        <rFont val="돋움"/>
        <family val="3"/>
        <charset val="129"/>
      </rPr>
      <t>계획했다가</t>
    </r>
    <r>
      <rPr>
        <sz val="10"/>
        <color theme="1"/>
        <rFont val="Arial"/>
        <family val="2"/>
      </rPr>
      <t xml:space="preserve"> definitive</t>
    </r>
    <r>
      <rPr>
        <sz val="10"/>
        <color theme="1"/>
        <rFont val="돋움"/>
        <family val="3"/>
        <charset val="129"/>
      </rPr>
      <t>로</t>
    </r>
    <r>
      <rPr>
        <sz val="10"/>
        <color theme="1"/>
        <rFont val="Arial"/>
        <family val="2"/>
      </rPr>
      <t xml:space="preserve"> </t>
    </r>
    <r>
      <rPr>
        <sz val="10"/>
        <color theme="1"/>
        <rFont val="돋움"/>
        <family val="3"/>
        <charset val="129"/>
      </rPr>
      <t>변경됨</t>
    </r>
    <phoneticPr fontId="2" type="noConversion"/>
  </si>
  <si>
    <t>오동자</t>
    <phoneticPr fontId="2" type="noConversion"/>
  </si>
  <si>
    <t>SNUH_126</t>
  </si>
  <si>
    <t>abd LN</t>
    <phoneticPr fontId="2" type="noConversion"/>
  </si>
  <si>
    <t>I</t>
    <phoneticPr fontId="2" type="noConversion"/>
  </si>
  <si>
    <t>cT1bN1M0</t>
    <phoneticPr fontId="2" type="noConversion"/>
  </si>
  <si>
    <t>32-35</t>
    <phoneticPr fontId="2" type="noConversion"/>
  </si>
  <si>
    <r>
      <t>Incomplete RT: poor performance</t>
    </r>
    <r>
      <rPr>
        <sz val="10"/>
        <color theme="1"/>
        <rFont val="돋움"/>
        <family val="3"/>
        <charset val="129"/>
      </rPr>
      <t>로</t>
    </r>
    <r>
      <rPr>
        <sz val="10"/>
        <color theme="1"/>
        <rFont val="Arial"/>
        <family val="2"/>
      </rPr>
      <t xml:space="preserve"> </t>
    </r>
    <r>
      <rPr>
        <sz val="10"/>
        <color theme="1"/>
        <rFont val="돋움"/>
        <family val="3"/>
        <charset val="129"/>
      </rPr>
      <t>예정된</t>
    </r>
    <r>
      <rPr>
        <sz val="10"/>
        <color theme="1"/>
        <rFont val="Arial"/>
        <family val="2"/>
      </rPr>
      <t xml:space="preserve"> RT</t>
    </r>
    <r>
      <rPr>
        <sz val="10"/>
        <color theme="1"/>
        <rFont val="돋움"/>
        <family val="3"/>
        <charset val="129"/>
      </rPr>
      <t>를</t>
    </r>
    <r>
      <rPr>
        <sz val="10"/>
        <color theme="1"/>
        <rFont val="Arial"/>
        <family val="2"/>
      </rPr>
      <t xml:space="preserve"> </t>
    </r>
    <r>
      <rPr>
        <sz val="10"/>
        <color theme="1"/>
        <rFont val="돋움"/>
        <family val="3"/>
        <charset val="129"/>
      </rPr>
      <t>모두</t>
    </r>
    <r>
      <rPr>
        <sz val="10"/>
        <color theme="1"/>
        <rFont val="Arial"/>
        <family val="2"/>
      </rPr>
      <t xml:space="preserve"> </t>
    </r>
    <r>
      <rPr>
        <sz val="10"/>
        <color theme="1"/>
        <rFont val="돋움"/>
        <family val="3"/>
        <charset val="129"/>
      </rPr>
      <t>시행하지</t>
    </r>
    <r>
      <rPr>
        <sz val="10"/>
        <color theme="1"/>
        <rFont val="Arial"/>
        <family val="2"/>
      </rPr>
      <t xml:space="preserve"> </t>
    </r>
    <r>
      <rPr>
        <sz val="10"/>
        <color theme="1"/>
        <rFont val="돋움"/>
        <family val="3"/>
        <charset val="129"/>
      </rPr>
      <t>못하고</t>
    </r>
    <r>
      <rPr>
        <sz val="10"/>
        <color theme="1"/>
        <rFont val="Arial"/>
        <family val="2"/>
      </rPr>
      <t xml:space="preserve"> 41.4Gy/23fx</t>
    </r>
    <r>
      <rPr>
        <sz val="10"/>
        <color theme="1"/>
        <rFont val="돋움"/>
        <family val="3"/>
        <charset val="129"/>
      </rPr>
      <t>에서</t>
    </r>
    <r>
      <rPr>
        <sz val="10"/>
        <color theme="1"/>
        <rFont val="Arial"/>
        <family val="2"/>
      </rPr>
      <t xml:space="preserve"> </t>
    </r>
    <r>
      <rPr>
        <sz val="10"/>
        <color theme="1"/>
        <rFont val="돋움"/>
        <family val="3"/>
        <charset val="129"/>
      </rPr>
      <t>중단함</t>
    </r>
    <r>
      <rPr>
        <sz val="10"/>
        <color theme="1"/>
        <rFont val="Arial"/>
        <family val="2"/>
      </rPr>
      <t>.</t>
    </r>
    <phoneticPr fontId="2" type="noConversion"/>
  </si>
  <si>
    <t>황학노</t>
    <phoneticPr fontId="2" type="noConversion"/>
  </si>
  <si>
    <t>SNUH_122</t>
  </si>
  <si>
    <t>retroperitoneal LN --&gt; neck</t>
    <phoneticPr fontId="2" type="noConversion"/>
  </si>
  <si>
    <t>neck, retroperitoneum…</t>
  </si>
  <si>
    <t>RT</t>
    <phoneticPr fontId="2" type="noConversion"/>
  </si>
  <si>
    <t>in-field / out-field --&gt; distal</t>
    <phoneticPr fontId="2" type="noConversion"/>
  </si>
  <si>
    <t>esophagus, Lt grastric LN --&gt; neck, retroperitoneum…</t>
    <phoneticPr fontId="2" type="noConversion"/>
  </si>
  <si>
    <t>both scl/med elective</t>
    <phoneticPr fontId="2" type="noConversion"/>
  </si>
  <si>
    <t>eso mass / gross LNs (Rt. Scl LN, 2L)</t>
    <phoneticPr fontId="2" type="noConversion"/>
  </si>
  <si>
    <t>scl, med</t>
    <phoneticPr fontId="2" type="noConversion"/>
  </si>
  <si>
    <t>Rt. SCL, 2L</t>
    <phoneticPr fontId="2" type="noConversion"/>
  </si>
  <si>
    <t>cT3N1M1</t>
    <phoneticPr fontId="2" type="noConversion"/>
  </si>
  <si>
    <t>20 / 24-30</t>
    <phoneticPr fontId="2" type="noConversion"/>
  </si>
  <si>
    <t>서석</t>
    <phoneticPr fontId="2" type="noConversion"/>
  </si>
  <si>
    <t>SNUH_114</t>
  </si>
  <si>
    <t>liver, PAN, aortocaval LN</t>
    <phoneticPr fontId="2" type="noConversion"/>
  </si>
  <si>
    <t>med (no elective)</t>
    <phoneticPr fontId="2" type="noConversion"/>
  </si>
  <si>
    <t>0.5-2</t>
    <phoneticPr fontId="2" type="noConversion"/>
  </si>
  <si>
    <t>no elective field</t>
    <phoneticPr fontId="2" type="noConversion"/>
  </si>
  <si>
    <t>eso. mass / paraesophageal, celiac axis, perigastric nodes</t>
    <phoneticPr fontId="2" type="noConversion"/>
  </si>
  <si>
    <t>paraesophageal, celiac axis, perigastric nodes</t>
  </si>
  <si>
    <t>이성규</t>
    <phoneticPr fontId="2" type="noConversion"/>
  </si>
  <si>
    <t>SNUH_112</t>
  </si>
  <si>
    <t>odynophagia</t>
    <phoneticPr fontId="2" type="noConversion"/>
  </si>
  <si>
    <t>PAN, liver --&gt; lung</t>
    <phoneticPr fontId="2" type="noConversion"/>
  </si>
  <si>
    <t>pall FP #1 (2016/2/29) -&gt; MEDI2736 ED #4 (2016/11/14 - 2017/2/6)</t>
    <phoneticPr fontId="2" type="noConversion"/>
  </si>
  <si>
    <t>out-field / distal --&gt; in-field / distal</t>
    <phoneticPr fontId="2" type="noConversion"/>
  </si>
  <si>
    <t>upper paratarcheal, aortocaval, paraaortic LN, liver (2016/2/12) --&gt; paraesophageal LN (in-field), lung (2016/8/20)</t>
    <phoneticPr fontId="2" type="noConversion"/>
  </si>
  <si>
    <r>
      <t xml:space="preserve">med/abd (subcarinal LN </t>
    </r>
    <r>
      <rPr>
        <sz val="10"/>
        <color theme="1"/>
        <rFont val="돋움"/>
        <family val="3"/>
        <charset val="129"/>
      </rPr>
      <t>까지</t>
    </r>
    <r>
      <rPr>
        <sz val="10"/>
        <color theme="1"/>
        <rFont val="Arial"/>
        <family val="2"/>
      </rPr>
      <t>)</t>
    </r>
    <phoneticPr fontId="2" type="noConversion"/>
  </si>
  <si>
    <t>1.5-2</t>
    <phoneticPr fontId="2" type="noConversion"/>
  </si>
  <si>
    <t>lower thoracic esophageal mass / perigastric &amp; precaval LN mets</t>
    <phoneticPr fontId="2" type="noConversion"/>
  </si>
  <si>
    <t>perigastric, portocaval LN</t>
    <phoneticPr fontId="2" type="noConversion"/>
  </si>
  <si>
    <t>34-38</t>
    <phoneticPr fontId="2" type="noConversion"/>
  </si>
  <si>
    <t>고재원</t>
    <phoneticPr fontId="2" type="noConversion"/>
  </si>
  <si>
    <t>SNUH_102</t>
  </si>
  <si>
    <t>Double primary: HCC</t>
    <phoneticPr fontId="2" type="noConversion"/>
  </si>
  <si>
    <t>고산암</t>
    <phoneticPr fontId="2" type="noConversion"/>
  </si>
  <si>
    <t>SNUH_101</t>
  </si>
  <si>
    <r>
      <t>Pre-op vs definitive -&gt; definitive</t>
    </r>
    <r>
      <rPr>
        <sz val="10"/>
        <color theme="1"/>
        <rFont val="돋움"/>
        <family val="3"/>
        <charset val="129"/>
      </rPr>
      <t>로</t>
    </r>
    <r>
      <rPr>
        <sz val="10"/>
        <color theme="1"/>
        <rFont val="Arial"/>
        <family val="2"/>
      </rPr>
      <t xml:space="preserve"> aim </t>
    </r>
    <r>
      <rPr>
        <sz val="10"/>
        <color theme="1"/>
        <rFont val="돋움"/>
        <family val="3"/>
        <charset val="129"/>
      </rPr>
      <t>변경되어</t>
    </r>
    <r>
      <rPr>
        <sz val="10"/>
        <color theme="1"/>
        <rFont val="Arial"/>
        <family val="2"/>
      </rPr>
      <t xml:space="preserve"> 55.8Gy/31fx </t>
    </r>
    <r>
      <rPr>
        <sz val="10"/>
        <color theme="1"/>
        <rFont val="돋움"/>
        <family val="3"/>
        <charset val="129"/>
      </rPr>
      <t>실시함</t>
    </r>
    <r>
      <rPr>
        <sz val="10"/>
        <color theme="1"/>
        <rFont val="Arial"/>
        <family val="2"/>
      </rPr>
      <t>.</t>
    </r>
    <phoneticPr fontId="2" type="noConversion"/>
  </si>
  <si>
    <t>피재혁</t>
    <phoneticPr fontId="2" type="noConversion"/>
  </si>
  <si>
    <t>SNUH_100</t>
  </si>
  <si>
    <t>peritoneal seeding</t>
    <phoneticPr fontId="2" type="noConversion"/>
  </si>
  <si>
    <t>PD in perigastric LN, salvage RT (2019/10/28 - 11/29) --&gt; peritoneal seeding</t>
    <phoneticPr fontId="2" type="noConversion"/>
  </si>
  <si>
    <t>Radical RT (2018/8/6 - 9/17)</t>
    <phoneticPr fontId="2" type="noConversion"/>
  </si>
  <si>
    <t>out-field --&gt; distal</t>
    <phoneticPr fontId="2" type="noConversion"/>
  </si>
  <si>
    <t>2nd primary esophageal mass, UI 35cm --&gt; peritoneal seeding</t>
    <phoneticPr fontId="2" type="noConversion"/>
  </si>
  <si>
    <t>eso. mass / 4L</t>
    <phoneticPr fontId="2" type="noConversion"/>
  </si>
  <si>
    <t>4L</t>
    <phoneticPr fontId="2" type="noConversion"/>
  </si>
  <si>
    <t>IVA</t>
    <phoneticPr fontId="2" type="noConversion"/>
  </si>
  <si>
    <t>cT4N1M0</t>
    <phoneticPr fontId="2" type="noConversion"/>
  </si>
  <si>
    <t>김영수</t>
    <phoneticPr fontId="2" type="noConversion"/>
  </si>
  <si>
    <t>SNUH_099</t>
  </si>
  <si>
    <t>Double primary: rectal ca.</t>
    <phoneticPr fontId="2" type="noConversion"/>
  </si>
  <si>
    <t>조희용</t>
    <phoneticPr fontId="2" type="noConversion"/>
  </si>
  <si>
    <t>SNUH_095</t>
  </si>
  <si>
    <t>PAN, scl, lung</t>
    <phoneticPr fontId="2" type="noConversion"/>
  </si>
  <si>
    <t>pall FP #2 -&gt; IP #1 -&gt; docetaxel #1</t>
    <phoneticPr fontId="2" type="noConversion"/>
  </si>
  <si>
    <t>in-field / out-field / distal</t>
    <phoneticPr fontId="2" type="noConversion"/>
  </si>
  <si>
    <t>PAN --&gt; Increased extent of wall thickening, multiple LNs in mediastinum, abdomen, scl / lung</t>
    <phoneticPr fontId="2" type="noConversion"/>
  </si>
  <si>
    <t>disease progression</t>
    <phoneticPr fontId="2" type="noConversion"/>
  </si>
  <si>
    <t>med/abd (no elective)</t>
    <phoneticPr fontId="2" type="noConversion"/>
  </si>
  <si>
    <t>2-5</t>
    <phoneticPr fontId="2" type="noConversion"/>
  </si>
  <si>
    <t>eso lesions (mid, distal) / Lt. gastric LN</t>
    <phoneticPr fontId="2" type="noConversion"/>
  </si>
  <si>
    <t>Lt gastric area LN</t>
    <phoneticPr fontId="2" type="noConversion"/>
  </si>
  <si>
    <t>cT2N1M0</t>
    <phoneticPr fontId="2" type="noConversion"/>
  </si>
  <si>
    <t>30cm, 44cm (GEJ)</t>
    <phoneticPr fontId="2" type="noConversion"/>
  </si>
  <si>
    <t>김영배</t>
    <phoneticPr fontId="2" type="noConversion"/>
  </si>
  <si>
    <t>SNUH_094</t>
  </si>
  <si>
    <t>30, 35</t>
    <phoneticPr fontId="2" type="noConversion"/>
  </si>
  <si>
    <r>
      <t xml:space="preserve">Incomplete RT (34.2Gy/19fx, </t>
    </r>
    <r>
      <rPr>
        <sz val="10"/>
        <color theme="1"/>
        <rFont val="돋움"/>
        <family val="3"/>
        <charset val="129"/>
      </rPr>
      <t>치료</t>
    </r>
    <r>
      <rPr>
        <sz val="10"/>
        <color theme="1"/>
        <rFont val="Arial"/>
        <family val="2"/>
      </rPr>
      <t xml:space="preserve"> </t>
    </r>
    <r>
      <rPr>
        <sz val="10"/>
        <color theme="1"/>
        <rFont val="돋움"/>
        <family val="3"/>
        <charset val="129"/>
      </rPr>
      <t>도중</t>
    </r>
    <r>
      <rPr>
        <sz val="10"/>
        <color theme="1"/>
        <rFont val="Arial"/>
        <family val="2"/>
      </rPr>
      <t xml:space="preserve"> metastatic lymph node</t>
    </r>
    <r>
      <rPr>
        <sz val="10"/>
        <color theme="1"/>
        <rFont val="돋움"/>
        <family val="3"/>
        <charset val="129"/>
      </rPr>
      <t>의</t>
    </r>
    <r>
      <rPr>
        <sz val="10"/>
        <color theme="1"/>
        <rFont val="Arial"/>
        <family val="2"/>
      </rPr>
      <t xml:space="preserve"> rupture</t>
    </r>
    <r>
      <rPr>
        <sz val="10"/>
        <color theme="1"/>
        <rFont val="돋움"/>
        <family val="3"/>
        <charset val="129"/>
      </rPr>
      <t>이</t>
    </r>
    <r>
      <rPr>
        <sz val="10"/>
        <color theme="1"/>
        <rFont val="Arial"/>
        <family val="2"/>
      </rPr>
      <t xml:space="preserve"> </t>
    </r>
    <r>
      <rPr>
        <sz val="10"/>
        <color theme="1"/>
        <rFont val="돋움"/>
        <family val="3"/>
        <charset val="129"/>
      </rPr>
      <t>발생하여</t>
    </r>
    <r>
      <rPr>
        <sz val="10"/>
        <color theme="1"/>
        <rFont val="Arial"/>
        <family val="2"/>
      </rPr>
      <t xml:space="preserve"> peritonitis </t>
    </r>
    <r>
      <rPr>
        <sz val="10"/>
        <color theme="1"/>
        <rFont val="돋움"/>
        <family val="3"/>
        <charset val="129"/>
      </rPr>
      <t>발생하여</t>
    </r>
    <r>
      <rPr>
        <sz val="10"/>
        <color theme="1"/>
        <rFont val="Arial"/>
        <family val="2"/>
      </rPr>
      <t xml:space="preserve"> </t>
    </r>
    <r>
      <rPr>
        <sz val="10"/>
        <color theme="1"/>
        <rFont val="돋움"/>
        <family val="3"/>
        <charset val="129"/>
      </rPr>
      <t>중단됨</t>
    </r>
    <r>
      <rPr>
        <sz val="10"/>
        <color theme="1"/>
        <rFont val="Arial"/>
        <family val="2"/>
      </rPr>
      <t>.)</t>
    </r>
    <phoneticPr fontId="2" type="noConversion"/>
  </si>
  <si>
    <t>신영수</t>
    <phoneticPr fontId="2" type="noConversion"/>
  </si>
  <si>
    <t>SNUH_089</t>
  </si>
  <si>
    <t>11R, 4R, 2R</t>
    <phoneticPr fontId="2" type="noConversion"/>
  </si>
  <si>
    <t>Previous malignancy: gastric cancer (2005), incomplete RT (41.4Gy/23fx) with no op</t>
    <phoneticPr fontId="2" type="noConversion"/>
  </si>
  <si>
    <t>한태길</t>
    <phoneticPr fontId="2" type="noConversion"/>
  </si>
  <si>
    <t>SNUH_087</t>
  </si>
  <si>
    <t>need neutrition support</t>
    <phoneticPr fontId="2" type="noConversion"/>
  </si>
  <si>
    <t>45/39.6</t>
    <phoneticPr fontId="2" type="noConversion"/>
  </si>
  <si>
    <r>
      <t>med, abd LN (abd</t>
    </r>
    <r>
      <rPr>
        <sz val="10"/>
        <color theme="1"/>
        <rFont val="돋움"/>
        <family val="3"/>
        <charset val="129"/>
      </rPr>
      <t>는</t>
    </r>
    <r>
      <rPr>
        <sz val="10"/>
        <color theme="1"/>
        <rFont val="Arial"/>
        <family val="2"/>
      </rPr>
      <t xml:space="preserve"> elective </t>
    </r>
    <r>
      <rPr>
        <sz val="10"/>
        <color theme="1"/>
        <rFont val="돋움"/>
        <family val="3"/>
        <charset val="129"/>
      </rPr>
      <t>아님</t>
    </r>
    <r>
      <rPr>
        <sz val="10"/>
        <color theme="1"/>
        <rFont val="Arial"/>
        <family val="2"/>
      </rPr>
      <t>)</t>
    </r>
    <phoneticPr fontId="2" type="noConversion"/>
  </si>
  <si>
    <t>med LN elective + abd</t>
    <phoneticPr fontId="2" type="noConversion"/>
  </si>
  <si>
    <t xml:space="preserve">eso mass / gross LNs </t>
    <phoneticPr fontId="2" type="noConversion"/>
  </si>
  <si>
    <t>subcarinal, Rt. upper paratracheal, Lt. supraclavicular fossa</t>
  </si>
  <si>
    <t>cT3N3M1a</t>
    <phoneticPr fontId="2" type="noConversion"/>
  </si>
  <si>
    <t>음명수</t>
    <phoneticPr fontId="2" type="noConversion"/>
  </si>
  <si>
    <t>SNUH_082</t>
  </si>
  <si>
    <r>
      <t>Incomplete RT (10.8Gy/6fx</t>
    </r>
    <r>
      <rPr>
        <sz val="10"/>
        <color theme="1"/>
        <rFont val="돋움"/>
        <family val="3"/>
        <charset val="129"/>
      </rPr>
      <t>에서</t>
    </r>
    <r>
      <rPr>
        <sz val="10"/>
        <color theme="1"/>
        <rFont val="Arial"/>
        <family val="2"/>
      </rPr>
      <t xml:space="preserve"> </t>
    </r>
    <r>
      <rPr>
        <sz val="10"/>
        <color theme="1"/>
        <rFont val="돋움"/>
        <family val="3"/>
        <charset val="129"/>
      </rPr>
      <t>중단</t>
    </r>
    <r>
      <rPr>
        <sz val="10"/>
        <color theme="1"/>
        <rFont val="Arial"/>
        <family val="2"/>
      </rPr>
      <t>)</t>
    </r>
    <phoneticPr fontId="2" type="noConversion"/>
  </si>
  <si>
    <t>김재선</t>
    <phoneticPr fontId="2" type="noConversion"/>
  </si>
  <si>
    <t>SNUH_076</t>
  </si>
  <si>
    <r>
      <t>Pre-op vs definitive -&gt; definitive</t>
    </r>
    <r>
      <rPr>
        <sz val="10"/>
        <color theme="1"/>
        <rFont val="돋움"/>
        <family val="3"/>
        <charset val="129"/>
      </rPr>
      <t>로</t>
    </r>
    <r>
      <rPr>
        <sz val="10"/>
        <color theme="1"/>
        <rFont val="Arial"/>
        <family val="2"/>
      </rPr>
      <t xml:space="preserve"> aim </t>
    </r>
    <r>
      <rPr>
        <sz val="10"/>
        <color theme="1"/>
        <rFont val="돋움"/>
        <family val="3"/>
        <charset val="129"/>
      </rPr>
      <t>변경되어</t>
    </r>
    <r>
      <rPr>
        <sz val="10"/>
        <color theme="1"/>
        <rFont val="Arial"/>
        <family val="2"/>
      </rPr>
      <t xml:space="preserve"> 61.2Gy/34fx </t>
    </r>
    <r>
      <rPr>
        <sz val="10"/>
        <color theme="1"/>
        <rFont val="돋움"/>
        <family val="3"/>
        <charset val="129"/>
      </rPr>
      <t>실시함</t>
    </r>
    <r>
      <rPr>
        <sz val="10"/>
        <color theme="1"/>
        <rFont val="Arial"/>
        <family val="2"/>
      </rPr>
      <t>.</t>
    </r>
    <phoneticPr fontId="2" type="noConversion"/>
  </si>
  <si>
    <r>
      <t xml:space="preserve">Aim: </t>
    </r>
    <r>
      <rPr>
        <sz val="10"/>
        <color theme="1"/>
        <rFont val="돋움"/>
        <family val="3"/>
        <charset val="129"/>
      </rPr>
      <t>처음에</t>
    </r>
    <r>
      <rPr>
        <sz val="10"/>
        <color theme="1"/>
        <rFont val="Arial"/>
        <family val="2"/>
      </rPr>
      <t xml:space="preserve"> neoadj vs definitive</t>
    </r>
    <r>
      <rPr>
        <sz val="10"/>
        <color theme="1"/>
        <rFont val="돋움"/>
        <family val="3"/>
        <charset val="129"/>
      </rPr>
      <t>로</t>
    </r>
    <r>
      <rPr>
        <sz val="10"/>
        <color theme="1"/>
        <rFont val="Arial"/>
        <family val="2"/>
      </rPr>
      <t xml:space="preserve"> </t>
    </r>
    <r>
      <rPr>
        <sz val="10"/>
        <color theme="1"/>
        <rFont val="돋움"/>
        <family val="3"/>
        <charset val="129"/>
      </rPr>
      <t>계획했다가</t>
    </r>
    <r>
      <rPr>
        <sz val="10"/>
        <color theme="1"/>
        <rFont val="Arial"/>
        <family val="2"/>
      </rPr>
      <t xml:space="preserve"> definitive</t>
    </r>
    <r>
      <rPr>
        <sz val="10"/>
        <color theme="1"/>
        <rFont val="돋움"/>
        <family val="3"/>
        <charset val="129"/>
      </rPr>
      <t>로</t>
    </r>
    <r>
      <rPr>
        <sz val="10"/>
        <color theme="1"/>
        <rFont val="Arial"/>
        <family val="2"/>
      </rPr>
      <t xml:space="preserve"> </t>
    </r>
    <r>
      <rPr>
        <sz val="10"/>
        <color theme="1"/>
        <rFont val="돋움"/>
        <family val="3"/>
        <charset val="129"/>
      </rPr>
      <t>변경됨</t>
    </r>
    <r>
      <rPr>
        <sz val="10"/>
        <color theme="1"/>
        <rFont val="Arial"/>
        <family val="2"/>
      </rPr>
      <t xml:space="preserve"> (tracheal invasion</t>
    </r>
    <r>
      <rPr>
        <sz val="10"/>
        <color theme="1"/>
        <rFont val="돋움"/>
        <family val="3"/>
        <charset val="129"/>
      </rPr>
      <t>으로</t>
    </r>
    <r>
      <rPr>
        <sz val="10"/>
        <color theme="1"/>
        <rFont val="Arial"/>
        <family val="2"/>
      </rPr>
      <t xml:space="preserve"> </t>
    </r>
    <r>
      <rPr>
        <sz val="10"/>
        <color theme="1"/>
        <rFont val="돋움"/>
        <family val="3"/>
        <charset val="129"/>
      </rPr>
      <t>수술</t>
    </r>
    <r>
      <rPr>
        <sz val="10"/>
        <color theme="1"/>
        <rFont val="Arial"/>
        <family val="2"/>
      </rPr>
      <t xml:space="preserve"> </t>
    </r>
    <r>
      <rPr>
        <sz val="10"/>
        <color theme="1"/>
        <rFont val="돋움"/>
        <family val="3"/>
        <charset val="129"/>
      </rPr>
      <t>불가</t>
    </r>
    <r>
      <rPr>
        <sz val="10"/>
        <color theme="1"/>
        <rFont val="Arial"/>
        <family val="2"/>
      </rPr>
      <t>)</t>
    </r>
    <phoneticPr fontId="2" type="noConversion"/>
  </si>
  <si>
    <t>김남수</t>
    <phoneticPr fontId="2" type="noConversion"/>
  </si>
  <si>
    <t>SNUH_075</t>
  </si>
  <si>
    <t># Esophageal ca (UI 22cm, SqCC), cT3N1M0</t>
  </si>
  <si>
    <t>Both SCL, med</t>
    <phoneticPr fontId="2" type="noConversion"/>
  </si>
  <si>
    <t>2-4</t>
    <phoneticPr fontId="2" type="noConversion"/>
  </si>
  <si>
    <t>med LN elective + both SCL elective</t>
    <phoneticPr fontId="2" type="noConversion"/>
  </si>
  <si>
    <t>Mid Esophageal mass, 4R</t>
    <phoneticPr fontId="2" type="noConversion"/>
  </si>
  <si>
    <t>scl+med</t>
    <phoneticPr fontId="2" type="noConversion"/>
  </si>
  <si>
    <t>4R</t>
    <phoneticPr fontId="2" type="noConversion"/>
  </si>
  <si>
    <t>Incomplete RT (34.2Gy/19fx)</t>
    <phoneticPr fontId="2" type="noConversion"/>
  </si>
  <si>
    <t>남궁연</t>
    <phoneticPr fontId="2" type="noConversion"/>
  </si>
  <si>
    <t>SNUH_074</t>
  </si>
  <si>
    <t>#. Esophageal ca (SqCC, mid-thoracic), cT3N3M0</t>
    <phoneticPr fontId="2" type="noConversion"/>
  </si>
  <si>
    <t>bronchoesophageal fistula</t>
    <phoneticPr fontId="2" type="noConversion"/>
  </si>
  <si>
    <t>DOD</t>
    <phoneticPr fontId="2" type="noConversion"/>
  </si>
  <si>
    <t>lung</t>
    <phoneticPr fontId="2" type="noConversion"/>
  </si>
  <si>
    <t>Generally aggravated state of lung, LN metastasis and mediastinal tumor infiltration</t>
  </si>
  <si>
    <t>dead</t>
    <phoneticPr fontId="2" type="noConversion"/>
  </si>
  <si>
    <t>Lt SCL, med, abd (no elective field)</t>
    <phoneticPr fontId="2" type="noConversion"/>
  </si>
  <si>
    <t>scl / med / abd without elective irradiation</t>
    <phoneticPr fontId="2" type="noConversion"/>
  </si>
  <si>
    <t>Mid-thoracic eso. mass, multiple LN mets (Left Scl, both paratracheal, upper paraesophageal, subcarinal, prevascular, right hilar, left gastric)</t>
  </si>
  <si>
    <t>scl+med+abd</t>
    <phoneticPr fontId="2" type="noConversion"/>
  </si>
  <si>
    <t>Lt SCN, both paratracheal/upper paraesophageal, subcarinal, prevascular, Rt hilar, Lt gastric LN</t>
    <phoneticPr fontId="2" type="noConversion"/>
  </si>
  <si>
    <t>cT3N3M1</t>
    <phoneticPr fontId="2" type="noConversion"/>
  </si>
  <si>
    <t>정소진</t>
    <phoneticPr fontId="2" type="noConversion"/>
  </si>
  <si>
    <t>SNUH_069</t>
  </si>
  <si>
    <t>Histology: adenocarcinoma, GE junction</t>
    <phoneticPr fontId="2" type="noConversion"/>
  </si>
  <si>
    <t>방성춘</t>
    <phoneticPr fontId="2" type="noConversion"/>
  </si>
  <si>
    <t>SNUH_065</t>
  </si>
  <si>
    <r>
      <t>Incomplete RT (7.2Gy/4fx</t>
    </r>
    <r>
      <rPr>
        <sz val="10"/>
        <color theme="1"/>
        <rFont val="돋움"/>
        <family val="3"/>
        <charset val="129"/>
      </rPr>
      <t>만</t>
    </r>
    <r>
      <rPr>
        <sz val="10"/>
        <color theme="1"/>
        <rFont val="Arial"/>
        <family val="2"/>
      </rPr>
      <t xml:space="preserve"> </t>
    </r>
    <r>
      <rPr>
        <sz val="10"/>
        <color theme="1"/>
        <rFont val="돋움"/>
        <family val="3"/>
        <charset val="129"/>
      </rPr>
      <t>시행</t>
    </r>
    <r>
      <rPr>
        <sz val="10"/>
        <color theme="1"/>
        <rFont val="Arial"/>
        <family val="2"/>
      </rPr>
      <t>)</t>
    </r>
    <phoneticPr fontId="2" type="noConversion"/>
  </si>
  <si>
    <t>이종국</t>
    <phoneticPr fontId="2" type="noConversion"/>
  </si>
  <si>
    <t>SNUH_064</t>
  </si>
  <si>
    <t>#.Esophageal cancer (SqCC, UI 30cm), cT3N1 CCRT with FP (for neoadjuvant)</t>
  </si>
  <si>
    <t>liver -&gt; peritoneal seeding</t>
    <phoneticPr fontId="2" type="noConversion"/>
  </si>
  <si>
    <t>liver -&gt; peritoneal seeding</t>
    <phoneticPr fontId="0" type="noConversion"/>
  </si>
  <si>
    <t>.</t>
  </si>
  <si>
    <t>O&amp;C d/t LA inv+</t>
  </si>
  <si>
    <t>3d</t>
  </si>
  <si>
    <t>45+5.4</t>
    <phoneticPr fontId="0" type="noConversion"/>
  </si>
  <si>
    <t>med+abd (4cm/0.5cm; 0; 0.5-1cm)</t>
    <phoneticPr fontId="0" type="noConversion"/>
  </si>
  <si>
    <t>0.5-1</t>
  </si>
  <si>
    <t>eso mass, LN (Lt gastric)</t>
  </si>
  <si>
    <t>Lt gastric</t>
    <phoneticPr fontId="0" type="noConversion"/>
  </si>
  <si>
    <t>IIIA</t>
  </si>
  <si>
    <t>III</t>
  </si>
  <si>
    <t>cT3N1</t>
  </si>
  <si>
    <t>lower</t>
  </si>
  <si>
    <t>Pre-op, LA invasion으로 O&amp;C</t>
  </si>
  <si>
    <t>M</t>
  </si>
  <si>
    <t>임종웅</t>
  </si>
  <si>
    <t>SNUH_041</t>
  </si>
  <si>
    <t># Esophageal cancer(SqCC, UI 25cm) ,cT2N1 CCRT with FP (for neoadjuvant)</t>
  </si>
  <si>
    <t>DOD</t>
  </si>
  <si>
    <t>BE-fistula로 사망 (2012-12-17)</t>
    <phoneticPr fontId="0" type="noConversion"/>
  </si>
  <si>
    <t>→ supportive care only</t>
  </si>
  <si>
    <t>BE-fistula</t>
  </si>
  <si>
    <t>mediastinum (4.5cm/0.5cm; 0; 1cm)</t>
    <phoneticPr fontId="0" type="noConversion"/>
  </si>
  <si>
    <t>eso mass, LN (2R, paraeso)</t>
  </si>
  <si>
    <t>2R, 8</t>
    <phoneticPr fontId="0" type="noConversion"/>
  </si>
  <si>
    <t>IIB</t>
  </si>
  <si>
    <t>II</t>
  </si>
  <si>
    <t>cT2N1</t>
  </si>
  <si>
    <t>middle</t>
  </si>
  <si>
    <t>Pre-op, BE-fistula로 사망하여 수술 못받음</t>
  </si>
  <si>
    <t>조형노</t>
  </si>
  <si>
    <t>SNUH_040</t>
  </si>
  <si>
    <t>CCRT with FP #2</t>
  </si>
  <si>
    <t>ds</t>
  </si>
  <si>
    <t>Lt main bronchus inv+</t>
  </si>
  <si>
    <t>mediastinum (4cm/1cm; 1cm; 1cm)</t>
    <phoneticPr fontId="0" type="noConversion"/>
  </si>
  <si>
    <t>med LN</t>
  </si>
  <si>
    <t>eso mass, LN (Rt SCL)</t>
  </si>
  <si>
    <t>1R</t>
    <phoneticPr fontId="0" type="noConversion"/>
  </si>
  <si>
    <t>cT3N1M0</t>
  </si>
  <si>
    <t>Pre-op, Lt. main bronchus invasion으로 수술 못함</t>
  </si>
  <si>
    <t>김병창</t>
  </si>
  <si>
    <t>SNUH_037</t>
  </si>
  <si>
    <t># Esophageal cancer, (SqCC, UI 24cm) T3N1M0 neoadj CCRT w FP</t>
  </si>
  <si>
    <t>lung, pleural seeding</t>
    <phoneticPr fontId="2" type="noConversion"/>
  </si>
  <si>
    <t>LR, lung, pleura
BE fistula</t>
    <phoneticPr fontId="0" type="noConversion"/>
  </si>
  <si>
    <t>recurrence (1Y6M) → stent insertion (2014/2/3)</t>
  </si>
  <si>
    <t>EUS상 CR소견으로 수술 취소</t>
  </si>
  <si>
    <t>B)SCL, mid (1cm; 0; 1cm)</t>
    <phoneticPr fontId="0" type="noConversion"/>
  </si>
  <si>
    <t>med LN, both SCL</t>
  </si>
  <si>
    <t>eso mass, LN (1R)</t>
  </si>
  <si>
    <t>2R</t>
    <phoneticPr fontId="0" type="noConversion"/>
  </si>
  <si>
    <t>upper</t>
  </si>
  <si>
    <t xml:space="preserve">Pre-op, </t>
  </si>
  <si>
    <t>PD</t>
  </si>
  <si>
    <t>이하우</t>
  </si>
  <si>
    <t>SNUH_035</t>
  </si>
  <si>
    <t># Esophageal cancer (SqCC, UI 30cm), cT1-2N1 (2R + by EBUS) CCRT with wCisplatin (for preop)</t>
  </si>
  <si>
    <t>lung -&gt; bone</t>
    <phoneticPr fontId="2" type="noConversion"/>
  </si>
  <si>
    <t>in &amp; distal</t>
    <phoneticPr fontId="2" type="noConversion"/>
  </si>
  <si>
    <t>2R, RUL -&gt; bone</t>
    <phoneticPr fontId="0" type="noConversion"/>
  </si>
  <si>
    <t>Refused</t>
  </si>
  <si>
    <t>Rt SCL, med (4cm/1cm; 0; 1cm)</t>
    <phoneticPr fontId="0" type="noConversion"/>
  </si>
  <si>
    <t>med LN, Rt SCL</t>
  </si>
  <si>
    <t>eso mass, LN (2R)</t>
  </si>
  <si>
    <t>cT1-2N1</t>
  </si>
  <si>
    <t>Pre-op (자의로 op 안받음)</t>
    <phoneticPr fontId="0" type="noConversion"/>
  </si>
  <si>
    <t>MD</t>
  </si>
  <si>
    <t>엄영식</t>
  </si>
  <si>
    <t>SNUH_028</t>
  </si>
  <si>
    <t>CCRT with FP</t>
  </si>
  <si>
    <t>O&amp;C (d/t Rt main bronchus inv+)</t>
  </si>
  <si>
    <t>45+5.4</t>
  </si>
  <si>
    <t>mediastinum (4cm/1cm; 1cm; 1cm) + abd LN</t>
    <phoneticPr fontId="0" type="noConversion"/>
  </si>
  <si>
    <t>eso mass, LN (subaortic)</t>
  </si>
  <si>
    <t>subaortic</t>
    <phoneticPr fontId="0" type="noConversion"/>
  </si>
  <si>
    <t>middle/lower</t>
  </si>
  <si>
    <t>27-30</t>
    <phoneticPr fontId="0" type="noConversion"/>
  </si>
  <si>
    <t>Pre+Post</t>
  </si>
  <si>
    <t>최영수</t>
  </si>
  <si>
    <t>SNUH_027</t>
  </si>
  <si>
    <t>Rt. SCL</t>
    <phoneticPr fontId="2" type="noConversion"/>
  </si>
  <si>
    <t>local recurrence</t>
    <phoneticPr fontId="2" type="noConversion"/>
  </si>
  <si>
    <t xml:space="preserve">s/p Docetaxel #4 ('12.04.25 ~ 07.03) </t>
  </si>
  <si>
    <t>in &amp; distal --&gt; in</t>
    <phoneticPr fontId="2" type="noConversion"/>
  </si>
  <si>
    <t>2L, Rt SCL -&gt; local progression</t>
    <phoneticPr fontId="0" type="noConversion"/>
  </si>
  <si>
    <t>O&amp;C (exploratory thoracotomy d/t aorta inv+)</t>
  </si>
  <si>
    <t>eso mass, LN (2L)</t>
  </si>
  <si>
    <t>2L</t>
    <phoneticPr fontId="0" type="noConversion"/>
  </si>
  <si>
    <t>cT2N1</t>
    <phoneticPr fontId="0" type="noConversion"/>
  </si>
  <si>
    <t>25-30</t>
    <phoneticPr fontId="0" type="noConversion"/>
  </si>
  <si>
    <t>WD</t>
  </si>
  <si>
    <t>박종석</t>
  </si>
  <si>
    <t>SNUH_026</t>
  </si>
  <si>
    <t>#. Esophageal cancer (SqCC, UI 20cm), cT3N1M0 CCRT with FP (for neoadjuvant)</t>
  </si>
  <si>
    <t>in</t>
  </si>
  <si>
    <t>both lung, LR -&gt; 8R, 11R</t>
    <phoneticPr fontId="0" type="noConversion"/>
  </si>
  <si>
    <t>Esophagus and proximal stomach, Ivor Lewis operation:
SQUAMOUS CELL CARCINOMA
- Post-chemoradiation status (S11-41703: squamous cell carcinoma)
- Gross type: diffuse infiltrative
- Location of tumor: middle thoracic,
      (9.5㎝ from GE junction)
- Size: 5.2 x 3.3 x 0.3cm
- Depth of invasion: 
    Tumor invades submucosa (ypT1b)
- Resection margin: free from carcinoma
    safety margin: proximal(Fro#1), 0㎝; distal, 10.8㎝;
     radial, 0.4cm
- Lymph node metastasis: 
   no metastasis in 32 regional lymph nodes (ypN0)
    (LN#1, 0/0; LN#1R, 0/2; LN#2L, 0/0; LN#2R, 0/2,
     LN#3A, 0/3; LN#4R, 0/4; LN#4L, 0/0; LN#5, 0/2;
     LN#7, 0/2; LN#8L, 0/1; LN#8M, 0/1; LN#9L, 0/1;
     LN#9R, 0/0; LN#10, 0/1; LN#10L, 0/4; LN#16, 0/0;
     LN#17, 0/6; cervical LN, 0/3; common hepatic LN, 0/0)
- Lymphatic invasion: not identified
- Venous invasion: not identified
- Perineural invasion: not identified
- Tumor border: infiltrative
- Stromal reaction: none
- Intramural metastasis: absent
- Precancerous lesion: not identified
- Associated findings: none</t>
  </si>
  <si>
    <t>middle thoracic</t>
  </si>
  <si>
    <t>diffuse infiltrative</t>
  </si>
  <si>
    <t>sqcc</t>
  </si>
  <si>
    <t>5.2 x 3.3 x 0.3cm</t>
  </si>
  <si>
    <t>IB</t>
    <phoneticPr fontId="2" type="noConversion"/>
  </si>
  <si>
    <t>ypT1bN0</t>
    <phoneticPr fontId="0" type="noConversion"/>
  </si>
  <si>
    <t>Ivor lewis</t>
    <phoneticPr fontId="2" type="noConversion"/>
  </si>
  <si>
    <t>ivor lewis</t>
  </si>
  <si>
    <t>both SCL, upper med. (2cm/1cm; 1cm/0cm; 1cm)</t>
    <phoneticPr fontId="0" type="noConversion"/>
  </si>
  <si>
    <t>bilat scl, upper med LN</t>
  </si>
  <si>
    <t>eso mass, gross LN (2R)</t>
  </si>
  <si>
    <t>med</t>
    <phoneticPr fontId="0" type="noConversion"/>
  </si>
  <si>
    <t>Pre-op</t>
  </si>
  <si>
    <t>Previous/concomitant malignancy: prostate ADC, 2011/1</t>
    <phoneticPr fontId="2" type="noConversion"/>
  </si>
  <si>
    <t>전용길</t>
  </si>
  <si>
    <t>SNUH_024</t>
  </si>
  <si>
    <t>#. Esophageal ca. (SqCC, UI 30-33cm), cT2N1 #. NSCLC (large cell, LLL) pT1N0 s/p LLLobectomy, mediastinal LN dissection (05/06/07) -&gt; NED Neoadjuvant CCRT with FP (20% DR)</t>
  </si>
  <si>
    <t>Esophagus, Ivor Lewis operation:
ADENOSQUAMOUS CARCINOMA, residual
- Post neoadjuvant chemoradiation therapy status
   (S11-37481: squamous carcinoma, well differentiated)
- Gross type: superficial
- Location of tumor: lower thoracic
- Size: 2.4 x 1.8 x 0.35cm
- Depth of invasion: 
    Tumor invades submucosa (ypT1b)
- Resection margin: free from carcinoma
    safety margin: proximal, 4.5㎝; distal, 5.8㎝;
      radial, 5 ㎜
- Lymph node metastasis: 
    no metastasis in 21 regional lymph nodes (ypN0)
     (LN#7, 0/1; LN#8L, 0/2; LN#8M, 0/0; LN#16, 0/1;
      LN#17, 0/6; LN#18, 0/1; LN#19, 0/2; LN#20, 0/2;
      Rt. recurrent laryngeal LN, 0/4)
- Lymphatic invasion: not identified
- Venous invasion: not identified
- Perineural invasion: not identified
- Tumor border: infiltrative
- Stromal reaction: none
- Intramural metastasis: absent
- Precancerous lesion: not identified
- Associated findings: none
(Note) Mucicarmine, Alcian-blue, PAS and D-PAS: Positive in intraluminal mucin.</t>
  </si>
  <si>
    <t>lower thoracic</t>
  </si>
  <si>
    <t>superficial</t>
  </si>
  <si>
    <t>adsq</t>
  </si>
  <si>
    <t>2.4 x 1.8 x 0.35cm</t>
  </si>
  <si>
    <t>med+abd (4cm/1cm; 0cm/ 1cm)</t>
    <phoneticPr fontId="0" type="noConversion"/>
  </si>
  <si>
    <t>lower med LN</t>
  </si>
  <si>
    <t>eso mass, gross LN (celiac)</t>
  </si>
  <si>
    <t>abd</t>
    <phoneticPr fontId="0" type="noConversion"/>
  </si>
  <si>
    <t>celiac LN</t>
    <phoneticPr fontId="0" type="noConversion"/>
  </si>
  <si>
    <t>30-33</t>
    <phoneticPr fontId="0" type="noConversion"/>
  </si>
  <si>
    <t>Histology: adenosquamous ca., Previous malignancy: lung large cell ca.</t>
    <phoneticPr fontId="2" type="noConversion"/>
  </si>
  <si>
    <t>이용희</t>
  </si>
  <si>
    <t>SNUH_022</t>
  </si>
  <si>
    <t>→ chemo wDP #3 (2011/10/24 - 2012/1/6)</t>
  </si>
  <si>
    <t>extensive tumor infiltration (from mid-trachea to both main bronchus bifurcation)</t>
  </si>
  <si>
    <t>mediastinum (1.5cm/1cm; 1cm; 0.5cm)</t>
    <phoneticPr fontId="0" type="noConversion"/>
  </si>
  <si>
    <t>Pre-op (op못받음)</t>
    <phoneticPr fontId="0" type="noConversion"/>
  </si>
  <si>
    <t>현용범</t>
  </si>
  <si>
    <t>SNUH_021</t>
  </si>
  <si>
    <t>CCRT w/ CDDP</t>
  </si>
  <si>
    <t xml:space="preserve">Esophagus, Mckewon operation:
 HIGH GRADE DYSPLASIA, residual
- Post-chemoradiation therapy status 
   (S11-23188: squamous cell carcinoma)
- Location of tumor: GE junction (1.5cm from GE junction) 
- Size: 0.5 x 0.4 x 0.05cm
- Depth of invasion: High-grade dysplasia (ypTis)
- Resection margin: free from carcinoma
    safety margin: proximal, 9.7㎝; distal, 3.2㎝; radial, 1cm
- Lymph node metastasis: 
    metastasis in one out of 40 regional lymph nodes (ypN1)
     (LN#2R, 0/7; LN#4R, 0/8; LN#7L, 0/2; LN#8M, 0/2; LN#8L, 0/3; 
      LN#10L, 0/2; LN#15, 1/4; LN#16, 0/6; LN#17, 0/2; LN#20, 0/0;
      Rt. recurrent laryngeal LN (including Fro#1) (see note), 0/3;
      Lt. recurrent laryngeal LN, 0/1)
- Lymphatic invasion: not identified
- Venous invasion: not identified
- Perineural invasion: not identified
- Tumor border: not applicable 
- Stromal reaction: none
- Intramural metastasis: absent
- Precancerous lesion: present [low grade dysplasia]
- Associated findings: none </t>
  </si>
  <si>
    <t>GE junction</t>
  </si>
  <si>
    <t>high grade dysplasia</t>
  </si>
  <si>
    <t>0.5 x 0.4 x 0.05cm</t>
  </si>
  <si>
    <t>ypTisN0</t>
    <phoneticPr fontId="0" type="noConversion"/>
  </si>
  <si>
    <t>mckeown</t>
  </si>
  <si>
    <t>mediastinum</t>
    <phoneticPr fontId="0" type="noConversion"/>
  </si>
  <si>
    <t>bilat scl, med LN</t>
  </si>
  <si>
    <t>eso mass, LN (1R, 4R, perigastric, perieso)</t>
  </si>
  <si>
    <t>med+abd</t>
    <phoneticPr fontId="0" type="noConversion"/>
  </si>
  <si>
    <t>1R, 4R, perigastric LN, 8</t>
    <phoneticPr fontId="0" type="noConversion"/>
  </si>
  <si>
    <t>32-35</t>
    <phoneticPr fontId="0" type="noConversion"/>
  </si>
  <si>
    <t>Double primary: PTC, follicular variant (2011/8/18)</t>
    <phoneticPr fontId="2" type="noConversion"/>
  </si>
  <si>
    <t>정덕진</t>
  </si>
  <si>
    <t>SNUH_019</t>
  </si>
  <si>
    <t>1. Esophageal cancer (SCCa, GE jx) with adb. LN mets 2. SFD diet * Neoadjuvant CCRT w/ FP =&gt; 2011/4/22 Ivor-Lewis op. 시행 받음.</t>
  </si>
  <si>
    <t>out</t>
  </si>
  <si>
    <t>skull bone, Lt level V, 4L</t>
  </si>
  <si>
    <t>Esophagus, Ivor-Lewis operation:
 ADENOCARCINOMA, poorly differentiated
- Post-neoadjuvant chemoradiation status 
- Gross type: ulceroinfiltrative
- Location of tumor: GE junction 
- Size: 5.7 x 2.8 x 1.3cm
- Depth of invasion: 
    Tumor invades adventitia (pT3)
- Resection margin: free from carcinoma
    safety margin: proximal, 9.7㎝; distal, 1.8㎝; 
                   radial, 2㎜
- Lymph node metastasis: 
    metastasis in 2 out of 53 regional lymph nodes (pN1)
     (LN#2, 0/9; LN#4, 0/6; LN#7 (including Fro#1), 2/12; LN#8, 0/2;
      LN#10L, 0/2; Lt. recurrent laryngeal LN, 0/1; 
      celiac axis LN, 0/2; Rt. recurrent laryngeal LN, 0/4; 
      splenic LN, 0/8; common hepatic LN, 0/5; left gastric LN, 0/2)
- Lymphatic invasion: present, extramural, peritumoral
- Venous invasion: not identified
- Perineural invasion: present, extramural, intratumoral/peritumoral 
- Tumor border: infiltrative
- Stromal reaction: none
- Intramural metastasis: absent
- Precancerous lesion: not identified
- Associated findings: none</t>
  </si>
  <si>
    <t>ulceroinfiltrative</t>
  </si>
  <si>
    <t>adc</t>
  </si>
  <si>
    <t>5.7 x 2.8 x 1.3cm</t>
  </si>
  <si>
    <t>ypT3N1M1 (axilla)</t>
    <phoneticPr fontId="2" type="noConversion"/>
  </si>
  <si>
    <t>2-field</t>
    <phoneticPr fontId="2" type="noConversion"/>
  </si>
  <si>
    <t>med+abd (4cm/1cm; 1cm)</t>
    <phoneticPr fontId="0" type="noConversion"/>
  </si>
  <si>
    <t>regional LN</t>
  </si>
  <si>
    <t>eso mass, gross LN</t>
  </si>
  <si>
    <t>GEJ</t>
    <phoneticPr fontId="0" type="noConversion"/>
  </si>
  <si>
    <t>박종우</t>
  </si>
  <si>
    <t>SNUH_018</t>
  </si>
  <si>
    <t>neoadj. CCRT w w/CDDP</t>
  </si>
  <si>
    <t>SCL (bilateral)</t>
    <phoneticPr fontId="2" type="noConversion"/>
  </si>
  <si>
    <t>Lt. SCL -&gt; B)SCL, subcarinal, RUL</t>
    <phoneticPr fontId="0" type="noConversion"/>
  </si>
  <si>
    <t>Poor PS</t>
  </si>
  <si>
    <t>med+abd (4.5cm/1cm; 1cm; 0.5cm)</t>
    <phoneticPr fontId="0" type="noConversion"/>
  </si>
  <si>
    <t>eso mass, LN (subcarinal, Lt gastric)</t>
  </si>
  <si>
    <t>7, 8, Lt gastric</t>
    <phoneticPr fontId="0" type="noConversion"/>
  </si>
  <si>
    <t>IIIA</t>
    <phoneticPr fontId="0" type="noConversion"/>
  </si>
  <si>
    <t>upper/middle/lower</t>
  </si>
  <si>
    <t>22-35</t>
    <phoneticPr fontId="0" type="noConversion"/>
  </si>
  <si>
    <t>Pre-op, poor PS로 수술 못함</t>
  </si>
  <si>
    <t>성종찬</t>
  </si>
  <si>
    <t>SNUH_013</t>
  </si>
  <si>
    <t>rectal ADC</t>
  </si>
  <si>
    <t>pre Op CCRT w w/CDDP preOp CCRT 개념으로 치료진행하였으나 환자분 수술 원하지 않음.</t>
  </si>
  <si>
    <t>?</t>
  </si>
  <si>
    <t>med (4.5cm/1cm; 1cm; 0.5cm)</t>
  </si>
  <si>
    <t>eso mass (4R, 7)</t>
  </si>
  <si>
    <t>4R, 7</t>
    <phoneticPr fontId="0" type="noConversion"/>
  </si>
  <si>
    <t>IIIC</t>
  </si>
  <si>
    <t>cT4b (trachea) N1M0</t>
  </si>
  <si>
    <t>20-25</t>
    <phoneticPr fontId="0" type="noConversion"/>
  </si>
  <si>
    <t>Pre-op, no op</t>
  </si>
  <si>
    <t>남근현</t>
    <phoneticPr fontId="0" type="noConversion"/>
  </si>
  <si>
    <t>SNUH_012</t>
  </si>
  <si>
    <t>CCRT w FP #1 s/p feeding gastrostomy (09/10/23)</t>
  </si>
  <si>
    <t>Rt adrenal gland -&gt; lung</t>
  </si>
  <si>
    <t>s/p FP#1 (09.11.16)</t>
    <phoneticPr fontId="2" type="noConversion"/>
  </si>
  <si>
    <t>Rt adrenal gland -&gt; lung -&gt; mediastinum</t>
    <phoneticPr fontId="0" type="noConversion"/>
  </si>
  <si>
    <t>CCRT 중 Rt adrenal gland DM 발견</t>
  </si>
  <si>
    <t>med (5cm/1cm; 2cm/1cm; 0.5cm)</t>
    <phoneticPr fontId="0" type="noConversion"/>
  </si>
  <si>
    <t>includes small paratracheal LNs</t>
  </si>
  <si>
    <t>eso mass</t>
  </si>
  <si>
    <t>28-32</t>
    <phoneticPr fontId="0" type="noConversion"/>
  </si>
  <si>
    <t>Pre-op, 치료중 mets로 수술x</t>
  </si>
  <si>
    <t>이규용</t>
  </si>
  <si>
    <t>SNUH_008</t>
  </si>
  <si>
    <t>CCRT w/ wFP(for preop)</t>
  </si>
  <si>
    <t>bone (spine)</t>
    <phoneticPr fontId="2" type="noConversion"/>
  </si>
  <si>
    <t>s/p DP#3, s/p cyberknife (30Gy/4F, 2/1/10-2/4/10)</t>
    <phoneticPr fontId="2" type="noConversion"/>
  </si>
  <si>
    <t>distal --&gt; in-field</t>
    <phoneticPr fontId="2" type="noConversion"/>
  </si>
  <si>
    <t>spine</t>
    <phoneticPr fontId="2" type="noConversion"/>
  </si>
  <si>
    <t>→ chemo DP #3 (2009/10/23 - 2009/9/15)</t>
  </si>
  <si>
    <t>op w/u 중 spine metastasis 발견</t>
  </si>
  <si>
    <t>1R, Rt SCL</t>
    <phoneticPr fontId="0" type="noConversion"/>
  </si>
  <si>
    <t>IV</t>
  </si>
  <si>
    <t>cM1b</t>
  </si>
  <si>
    <t>안수근</t>
  </si>
  <si>
    <t>SNUH_007</t>
  </si>
  <si>
    <t>cM1 d/t infrarenal LNE concomitant chemotherapy with TP</t>
  </si>
  <si>
    <t>PAN, liver, omental seeding</t>
    <phoneticPr fontId="0" type="noConversion"/>
  </si>
  <si>
    <t>FP #2 (2007/8/13-) -&gt; Docetaxel #4 (2007/10/2-)</t>
    <phoneticPr fontId="2" type="noConversion"/>
  </si>
  <si>
    <t>O&amp;C d/t liver metastasis</t>
  </si>
  <si>
    <t>paclitaxel, cisplatin</t>
  </si>
  <si>
    <t>wTP</t>
  </si>
  <si>
    <t>eso mass, abd</t>
  </si>
  <si>
    <t>Lt gastric, PAN</t>
    <phoneticPr fontId="0" type="noConversion"/>
  </si>
  <si>
    <t>cT3N1M1(liver)</t>
    <phoneticPr fontId="0" type="noConversion"/>
  </si>
  <si>
    <t>32-GEJ</t>
    <phoneticPr fontId="0" type="noConversion"/>
  </si>
  <si>
    <t>강명웅</t>
  </si>
  <si>
    <t>SNUH_003</t>
  </si>
  <si>
    <t>RCC s/p Lt nephrectomy (1999), colon cancer s/p EMR (1999)</t>
  </si>
  <si>
    <t>2006 10/17-11/7 CCRT with FP #2</t>
  </si>
  <si>
    <t>brain -&gt; perirectal mass</t>
    <phoneticPr fontId="2" type="noConversion"/>
  </si>
  <si>
    <t>WBRT -&gt; RT to perirectal mass</t>
    <phoneticPr fontId="2" type="noConversion"/>
  </si>
  <si>
    <t>PD (brain, 2007/1/5) → WBRT 35 Gy (2007/1/9 - 2007/1/26) → PD (perirectal mass) → Pall RT to perirectal mass 35+5 Gy (2007/2/8 - 2007/3/5)</t>
  </si>
  <si>
    <t xml:space="preserve">→ DP #1 (2006/12/20) → PD → pall RT </t>
  </si>
  <si>
    <t>Preop w/u 중 DM 발견</t>
  </si>
  <si>
    <t>conv</t>
  </si>
  <si>
    <t>mediastinum (2D)</t>
    <phoneticPr fontId="0" type="noConversion"/>
  </si>
  <si>
    <t>4,8</t>
    <phoneticPr fontId="0" type="noConversion"/>
  </si>
  <si>
    <t>28-38</t>
    <phoneticPr fontId="0" type="noConversion"/>
  </si>
  <si>
    <t>Pre-op, preop w/u에서 mets발견</t>
  </si>
  <si>
    <r>
      <t>Previous malignancy: RCC, s/p Lt. nephrectomy (1999) / colon ca., s/p EMR (1999) Base of f/u</t>
    </r>
    <r>
      <rPr>
        <sz val="10"/>
        <rFont val="돋움"/>
        <family val="3"/>
        <charset val="129"/>
      </rPr>
      <t>에서</t>
    </r>
    <r>
      <rPr>
        <sz val="10"/>
        <rFont val="Arial"/>
        <family val="2"/>
      </rPr>
      <t xml:space="preserve"> 5</t>
    </r>
    <r>
      <rPr>
        <sz val="10"/>
        <rFont val="돋움"/>
        <family val="3"/>
        <charset val="129"/>
      </rPr>
      <t>년</t>
    </r>
    <r>
      <rPr>
        <sz val="10"/>
        <rFont val="Arial"/>
        <family val="2"/>
      </rPr>
      <t xml:space="preserve"> </t>
    </r>
    <r>
      <rPr>
        <sz val="10"/>
        <rFont val="돋움"/>
        <family val="3"/>
        <charset val="129"/>
      </rPr>
      <t>이상</t>
    </r>
    <r>
      <rPr>
        <sz val="10"/>
        <rFont val="Arial"/>
        <family val="2"/>
      </rPr>
      <t xml:space="preserve"> </t>
    </r>
    <r>
      <rPr>
        <sz val="10"/>
        <rFont val="돋움"/>
        <family val="3"/>
        <charset val="129"/>
      </rPr>
      <t>지나서</t>
    </r>
    <r>
      <rPr>
        <sz val="10"/>
        <rFont val="Arial"/>
        <family val="2"/>
      </rPr>
      <t xml:space="preserve"> eligible </t>
    </r>
    <r>
      <rPr>
        <sz val="10"/>
        <rFont val="돋움"/>
        <family val="3"/>
        <charset val="129"/>
      </rPr>
      <t>하다고</t>
    </r>
    <r>
      <rPr>
        <sz val="10"/>
        <rFont val="Arial"/>
        <family val="2"/>
      </rPr>
      <t xml:space="preserve"> </t>
    </r>
    <r>
      <rPr>
        <sz val="10"/>
        <rFont val="돋움"/>
        <family val="3"/>
        <charset val="129"/>
      </rPr>
      <t>보자</t>
    </r>
    <r>
      <rPr>
        <sz val="10"/>
        <rFont val="Arial"/>
        <family val="2"/>
      </rPr>
      <t>.</t>
    </r>
    <phoneticPr fontId="2" type="noConversion"/>
  </si>
  <si>
    <t>이고웅</t>
  </si>
  <si>
    <t>SNUH_002</t>
    <phoneticPr fontId="2" type="noConversion"/>
  </si>
  <si>
    <t>lung</t>
  </si>
  <si>
    <t>SABR, docetaxel</t>
  </si>
  <si>
    <t>In, distal</t>
  </si>
  <si>
    <t>2L, lung</t>
  </si>
  <si>
    <t>Sqcc md</t>
  </si>
  <si>
    <t>2.0 x 1.4 x 0.2 cm</t>
  </si>
  <si>
    <t>grade 1 (moderate response)</t>
  </si>
  <si>
    <t>ypT2N1</t>
  </si>
  <si>
    <t>2-field</t>
  </si>
  <si>
    <t>Minimally invasive ivor lewis</t>
  </si>
  <si>
    <t>imrt</t>
  </si>
  <si>
    <t>SCN</t>
  </si>
  <si>
    <t>Esophageal mass, 2R LN</t>
  </si>
  <si>
    <t>med</t>
  </si>
  <si>
    <t>2R</t>
  </si>
  <si>
    <t>neoadj</t>
  </si>
  <si>
    <t>01583660</t>
    <phoneticPr fontId="2" type="noConversion"/>
  </si>
  <si>
    <t>김명종</t>
  </si>
  <si>
    <t>BRMH_010</t>
  </si>
  <si>
    <t>PAN</t>
  </si>
  <si>
    <t>Pall chemo</t>
  </si>
  <si>
    <t>In, out, distal</t>
  </si>
  <si>
    <t xml:space="preserve">Lt gastric, aortocaval, PAN -&gt; tracheal invasion(2019.1.12), med LNs </t>
  </si>
  <si>
    <t>Preop tumor mass</t>
  </si>
  <si>
    <t>med/abd</t>
  </si>
  <si>
    <t>bilat upper paratracheal, stomach lesser curvature, suprapyloric area LN</t>
  </si>
  <si>
    <t>cT4bN2M0 (r/o descending aorta)</t>
  </si>
  <si>
    <t>25-30</t>
  </si>
  <si>
    <t>00360003</t>
    <phoneticPr fontId="2" type="noConversion"/>
  </si>
  <si>
    <t>전윤수</t>
  </si>
  <si>
    <t>BRMH_009</t>
  </si>
  <si>
    <t>수술 위해 입원했지만 poor performance로 수술 못하고 supportive care 도중 massive esophageal tumor bleeding으로 사망.</t>
  </si>
  <si>
    <t>Death</t>
  </si>
  <si>
    <t>Esophageal mass</t>
  </si>
  <si>
    <t>2016-12-07</t>
  </si>
  <si>
    <t>2016-11-08</t>
  </si>
  <si>
    <t>x</t>
  </si>
  <si>
    <t>0</t>
  </si>
  <si>
    <t>3</t>
  </si>
  <si>
    <t>cT3N0M0</t>
  </si>
  <si>
    <t>24-30</t>
  </si>
  <si>
    <t>1</t>
  </si>
  <si>
    <t>2016-11-04</t>
  </si>
  <si>
    <t>00067637</t>
    <phoneticPr fontId="2" type="noConversion"/>
  </si>
  <si>
    <t>성희남</t>
  </si>
  <si>
    <t>BRMH_008</t>
  </si>
  <si>
    <t>Mediastinal LN dissection (2017.7.18), 이후 FP #1</t>
  </si>
  <si>
    <t>Out</t>
  </si>
  <si>
    <t>Mediastinal 6</t>
  </si>
  <si>
    <t>Lower thoracic</t>
  </si>
  <si>
    <t>Diffuse infiltrative</t>
  </si>
  <si>
    <t>1.6 x 1.3 x 0.3 cm</t>
  </si>
  <si>
    <t>grade 2 (minimal regression)</t>
  </si>
  <si>
    <t>Hybrid minimally invasive ivor lewis</t>
  </si>
  <si>
    <t>(기술 없음)</t>
  </si>
  <si>
    <t>2016-10-10</t>
  </si>
  <si>
    <t>abd</t>
  </si>
  <si>
    <t>Lt gastric, aortocaval</t>
  </si>
  <si>
    <t>cT3N1M0 (기존 기록 N2)</t>
  </si>
  <si>
    <t>01080915</t>
    <phoneticPr fontId="2" type="noConversion"/>
  </si>
  <si>
    <t>최수열</t>
  </si>
  <si>
    <t>BRMH_007</t>
  </si>
  <si>
    <t>Esophageal cancer은 NED, POEMS ayndrome 발생</t>
  </si>
  <si>
    <t>Esophageal cancer은 NED, POEMS syndrome 발병</t>
  </si>
  <si>
    <t>grade 0 (complete response)</t>
  </si>
  <si>
    <t>ypT0N0</t>
  </si>
  <si>
    <t>Ivor Lewis</t>
  </si>
  <si>
    <t>SI 2cm, otherwise 0.5cm</t>
  </si>
  <si>
    <t>2016-09-26</t>
  </si>
  <si>
    <t>2016-08-22</t>
  </si>
  <si>
    <t>CT상 subcarinal, paraesophageal, Lt inferior pulmonary ligament, PET 상에서는 too small to evaluate</t>
  </si>
  <si>
    <t>cT3N2M0 (기존 기록 N1)</t>
  </si>
  <si>
    <t>33-40</t>
  </si>
  <si>
    <t>2016-08-12</t>
  </si>
  <si>
    <t>01427498</t>
    <phoneticPr fontId="2" type="noConversion"/>
  </si>
  <si>
    <t>홍원표</t>
  </si>
  <si>
    <t>BRMH_006</t>
  </si>
  <si>
    <t>Pall RT to mediastinum, 20Gy (2015.11.10)</t>
  </si>
  <si>
    <t>upper esophageal area, 4L (EBUS positive)</t>
  </si>
  <si>
    <t>no further chemo</t>
  </si>
  <si>
    <t>Hybrid Ivor Lewis</t>
  </si>
  <si>
    <t>(기술을 확인할 수 없음)</t>
  </si>
  <si>
    <t>2015-09-08</t>
  </si>
  <si>
    <t>2015-08-10</t>
  </si>
  <si>
    <t>MD to PD</t>
    <phoneticPr fontId="2" type="noConversion"/>
  </si>
  <si>
    <t>01290068</t>
    <phoneticPr fontId="2" type="noConversion"/>
  </si>
  <si>
    <t>윤수현</t>
  </si>
  <si>
    <t>BRMH_005</t>
  </si>
  <si>
    <t>환자 희망으로 타병원 전원</t>
  </si>
  <si>
    <t>2015-09-02</t>
  </si>
  <si>
    <t>2015-08-05</t>
  </si>
  <si>
    <t>retrotracheal, lt lower paratracheal, subcarina, left gastric</t>
  </si>
  <si>
    <t>2</t>
  </si>
  <si>
    <t>cT3N2M0</t>
  </si>
  <si>
    <t>28-31</t>
  </si>
  <si>
    <t>00265017</t>
    <phoneticPr fontId="2" type="noConversion"/>
  </si>
  <si>
    <t>서재우</t>
  </si>
  <si>
    <t>BRMH_004</t>
  </si>
  <si>
    <t>Salvage CCRT (2020.8.14-9.25)</t>
  </si>
  <si>
    <t>PR after salvage</t>
  </si>
  <si>
    <t>4.7cm from GEJ</t>
  </si>
  <si>
    <t>Ulcerative and localized</t>
  </si>
  <si>
    <t>1.3 x 0.8 x 0.9 cm</t>
  </si>
  <si>
    <t>IB</t>
  </si>
  <si>
    <t>ypT2N0</t>
  </si>
  <si>
    <t>Unknown</t>
  </si>
  <si>
    <t>2014-11-04</t>
  </si>
  <si>
    <t>2014-10-06</t>
  </si>
  <si>
    <t>25~GEJ</t>
  </si>
  <si>
    <t>F</t>
  </si>
  <si>
    <t>01291691</t>
    <phoneticPr fontId="2" type="noConversion"/>
  </si>
  <si>
    <t>백근숙</t>
  </si>
  <si>
    <t>BRMH_003</t>
  </si>
  <si>
    <t>liver -&gt; lung</t>
  </si>
  <si>
    <t>Out &amp; distal</t>
  </si>
  <si>
    <t>liver, rt upper paratracheal LN -&gt; lung, rt hilar (2015.6.4)</t>
  </si>
  <si>
    <t>Limited survival</t>
  </si>
  <si>
    <t>5.6 x 2.8 x 0.9 cm</t>
  </si>
  <si>
    <t>IIIB</t>
  </si>
  <si>
    <t>ypT3N1</t>
  </si>
  <si>
    <t>2014-08-12</t>
  </si>
  <si>
    <t>2014-07-14</t>
  </si>
  <si>
    <t>subcarina, Rt lower paratracheal, rt hilar, (r/o lt gastric)</t>
  </si>
  <si>
    <t>29-40</t>
  </si>
  <si>
    <t>01279664</t>
    <phoneticPr fontId="2" type="noConversion"/>
  </si>
  <si>
    <t>김윤제</t>
  </si>
  <si>
    <t>BRMH_002</t>
  </si>
  <si>
    <t>식이진행문제</t>
  </si>
  <si>
    <t>Middle thoracic</t>
  </si>
  <si>
    <t>Ulceroinfiltrative</t>
  </si>
  <si>
    <t>2.3 x 1.2 x 0.6 cm</t>
  </si>
  <si>
    <t>ypT3N2</t>
  </si>
  <si>
    <t>Mckeown</t>
  </si>
  <si>
    <t>=ctv</t>
    <phoneticPr fontId="2" type="noConversion"/>
  </si>
  <si>
    <t>GTV, 4R, 7</t>
  </si>
  <si>
    <t>Esophageal mass, 3</t>
  </si>
  <si>
    <t>2014-04-28</t>
  </si>
  <si>
    <t>2014-04-01</t>
  </si>
  <si>
    <t>4b, 7, 8, 3a</t>
  </si>
  <si>
    <t>01258549</t>
    <phoneticPr fontId="2" type="noConversion"/>
  </si>
  <si>
    <t>동승욱</t>
  </si>
  <si>
    <t>BRMH_001</t>
    <phoneticPr fontId="2" type="noConversion"/>
  </si>
  <si>
    <t>on chemo</t>
    <phoneticPr fontId="2" type="noConversion"/>
  </si>
  <si>
    <t>Esophagus, McKeown operation: 
SQUAMOUS CELL CARCINOMA, moderately differentiated, residual
- Post-neoadjuvant treatment status: related pathology: (C 21-9136: Squamous cell carcinoma, moderately differentiated)
- Tumor regression after neoadjuvant treatment: 2 (partial response; residual cancer with evident tumor regression but more than single cells or rare small groups of cancer cells)
- Viable tumor after neoadjuvant treatment: 20%
- Location of tumor: middle thoracic
- Gross type: ulceroinfiltrative
- Size of tumor: 4.9 x 2.5 x 1.0cm
- Depth of invasion: adventitia
- Resection margins: free from carcinoma
   (Safety margin: proximal, 1.0cm; distal, 4.5cm; radial, 1.0mm)
- Number of metastatic lymph nodes: 4
- Number of examined lymph nodes: 71
(periesophageal LN, 0/1; perigastric LN, 0/1; peritumoral LN, 0/1; Lt.Lv.3, 0/0; Lt.Lv.4, 2/8; Rt.Lv.3, 0/7; Rt.Lv.4, 0/11; LN#2L, 0/5; LN#4L, 0/1; LN#5, 0/3; LN#7, 1/8; LN#8U, 0/0; LN#8M, 0/2; LN#8L, 0/3; LN#9, 0/4; LN#16, 0/0; LN#17, 0/8; LN#18, 0/2; LN#19, 0/0; LN#20, 0/0; LN#106R, 1/6)
- Intramural metastasis: absent
- Lymphatic invasion: PRESENT
- Venous invasion: PRESENT
- Perineural invasion: PRESENT
- Tumor border: infiltrative
- Stromal reaction: none
- Precancerous lesion: absent
- Associated findings: none
- Pathologic stage (AJCC 8th): ypT3N2
Esophageal wall, excision:
Involvement of SQUAMOUS CELL CARCINOMA, residual
Stomach, excision: No tumor involvement</t>
    <phoneticPr fontId="2" type="noConversion"/>
  </si>
  <si>
    <t>Sqcc md</t>
    <phoneticPr fontId="2" type="noConversion"/>
  </si>
  <si>
    <t>4.9 x 2.5 x 1.0cm</t>
  </si>
  <si>
    <t>2 (partial response; residual cancer with evident tumor regression but more than single cells or rare small groups of cancer cells)</t>
  </si>
  <si>
    <t>ypT3N2M1</t>
  </si>
  <si>
    <t>2R, 2L</t>
    <phoneticPr fontId="2" type="noConversion"/>
  </si>
  <si>
    <t>이근옥</t>
  </si>
  <si>
    <t>SNUH_243</t>
  </si>
  <si>
    <t>Esophagus and stomach, esophagectomy: 
SQUAMOUS CELL CARCINOMA, poorly differentiated, residual
- Post-neoadjuvant treatment status: related pathology: (S 21-65504: favor SQUAMOUS CELL CARCINOMA, moderately differentiated)
- Tumor regression after neoadjuvant treatment: 1 (near-complete response; single cells or rare small groups of cancer cells)
- Viable tumor after neoadjuvant treatment: &lt;1%
- Location of tumor: lower thoracic
- Gross type: ulceroinfiltrative
- Size of tumor: 0.3 x 0.2 x 0.1cm and 0.2 x 0.1 x 0.1cm
- Depth of invasion: muscularis propria
- Resection margins: free from carcinoma
   (Safety margin: proximal, 1.2cm; distal, 7.9cm; radial, 2.5mm)
- Number of metastatic lymph nodes: 1
- Number of examined lymph nodes: 51
(periesophageal LN, 0/0; perigastric LN, 0/0; LN#1L, 0/0; LN#1R, 0/0; LN#2L, 0/6; LN#5, 0/8; LN#4L, 0/3; LN#7, 0/6; LN#8U, 0/1; LN#8M, 1/3; LN#8L, 0/0; LN#10R, 0/5; LN#16, 0/5; LN#17, 0/10; LN#18, 0/1; LN#19, 0/0; LN#106R, 0/3)
- Extranodal extension: present (LN#8M)
- Intramural metastasis: absent
- Lymphatic invasion: absent
- Venous invasion: absent
- Perineural invasion: absent
- Tumor border: infiltrative
- Stromal reaction: lymphoid
- Precancerous lesion: absent
- Associated findings: transmural fibrosis
- Pathologic stage (AJCC 8th): ypT2N1
Lymph node, neck, resection:
No metastasis in 10 lymph nodes
("Rt. level 3", 0/3; "Rt. level 4", 0/0; "Lt. level 3", 0/4; "Lt. level 4", 0/3)
Note) Histopathologic mapping procedure was performed.</t>
    <phoneticPr fontId="2" type="noConversion"/>
  </si>
  <si>
    <t>Sqcc pd</t>
    <phoneticPr fontId="2" type="noConversion"/>
  </si>
  <si>
    <t>0.3 x 0.2 x 0.1cm and 0.2 x 0.1 x 0.1cm</t>
  </si>
  <si>
    <t>1 (near-complete response; single cells or rare small groups of cancer cells)</t>
  </si>
  <si>
    <t>IIIA</t>
    <phoneticPr fontId="2" type="noConversion"/>
  </si>
  <si>
    <t>Robotic Ivor Lewis operation (robotic esophagectomy, esophagogastrostomy), total three-field LN dissection, feeding jejunostomy, pyloromyotomy, pre-emptive multilevel intercostal nerve block, pre-emptive multilevel intercostal nerve block (JNS study-049,  early group) [postop. ICU]</t>
  </si>
  <si>
    <t>paraesophageal area, Lt. upper paratracheal area</t>
    <phoneticPr fontId="2" type="noConversion"/>
  </si>
  <si>
    <t>29-34</t>
  </si>
  <si>
    <t>김민수</t>
  </si>
  <si>
    <t>SNUH_241</t>
  </si>
  <si>
    <t>Esophagus and stomach, esophagectomy: 
SQUAMOUS CELL CARCINOMA, moderately differentiated, residual
- Post-neoadjuvant treatment status: related pathology: (S 21-66940: SQUAMOUS CELL CARCINOMA, moderately differentiated)
- Tumor regression after neoadjuvant treatment: 1 (near-complete response; single cells or rare small groups of cancer cells)
- Viable tumor after neoadjuvant treatment: 1%
- Location of tumor: lower thoracic
- Gross type: ulceroinfiltrative
- Size of tumor: 2.0 x 1.2 x 0.2cm
- Depth of invasion: muscularis propria
- Resection margins: free from carcinoma
   (Safety margin: proximal, 6.2cm; distal, 4.2cm; radial, 0.2mm)
- Number of metastatic lymph nodes: 0
- Number of examined lymph nodes: 40
(periesophageal LN, 0/0; perigastric LN, 0/4; LN#1L (see note 1), 0/0; LN#1R, 0/1; LN#2L, 0/1; LN#4L, 0/8; LN#5, 0/1; LN#7, 0/6; LN#8U, 0/2; LN#8M, 0/1; LN#8L, 0/3; LN#9L, 0/0; LN#15, 0/1; LN#16, 0/2; LN#18, 0/1; LN#19, 0/2; LN#20, 0/2; LN#106R, 0/5)
- Intramural metastasis: absent
- Lymphatic invasion: absent
- Venous invasion: absent
- Perineural invasion: absent
- Stromal reaction: none
- Precancerous lesion: absent
- Associated findings: transmural fibrosis
- Pathologic stage (AJCC 8th): ypT2N0
Lymph node, "Rt. Level 3 LN", "Rt. Level 4 LN", "Lt. Level 3 LN", "Lt. Level 4 LN", lymph node dissection:
No metastasis in 29 lymph nodes
("Rt. level 3 LN", 0/6; "Rt. level 4 LN", 0/8; "Lt. level 3 LN", 0/5; "Lt. level 4 LN", 0/10)
Tissue labeled "thoracic duct", excision:
No metastasis in one lymph node
Note) 1. Parathyroid tissue is included in "LN1L".
        2. Histopathologic mapping procedure was performed.</t>
    <phoneticPr fontId="2" type="noConversion"/>
  </si>
  <si>
    <t>2.0 x 1.2 x 0.2cm</t>
  </si>
  <si>
    <t>Robotic Ivor Lewis operation (robotic esophagectomy, esophagogastrostomy), total three-field LN dissection, feeding jejunostomy, pyloromyotomy, pre-emptive multilevel intercostal nerve block, pre-emptive multilevel intercostal nerve block (JNS study-048,  delayed group) [postop. ICU]</t>
  </si>
  <si>
    <t>김정자</t>
  </si>
  <si>
    <t>SNUH_238</t>
  </si>
  <si>
    <t>Esophagus and stomach, esophagectomy: 
No residual tumor
- Post-neoadjuvant treatment status: related pathology: (S 21-65973: favor SQUAMOUS CELL CARCINOMA)
- Tumor regression after neoadjuvant treatment: 0 (complete response; no viable cancer cells)
- Viable tumor after neoadjuvant treatment: 0%
- Resection margins: free from carcinoma
- Number of metastatic lymph nodes: 0
- Number of examined lymph nodes: 57
(periesophageal LN, 0/0; perigastric LN, 0/0; LN#1L, 0/2; LN#1R, 0/1; LN#2L, 0/4; LN#4L, 0/1; LN#7, 0/16; LN#8U, 0/0; LN#8M, 0/0; LN#8L, 0/3; LN#9R, 0/1; LN#10L, 0/2; LN#16, 0/2; LN#17, 0/5; LN#18, 0/4; LN#19, 0/3; LN#20, 0/2; LN#106R, 0/4; LN#5, 0/7)
- Intramural metastasis: absent
- Lymphatic invasion: absent
- Venous invasion: absent
- Perineural invasion: absent
- Precancerous lesion: absent
- Associated findings: ulceration, transmural fibrosis
- Pathologic stage (AJCC 8th): ypT0N0
Lymph node, "Rt. level 3 (neck) LN", "Rt. Level 4 (neck) LN", "Lt. Level 3 (neck) LN", "Lt. Level 4 (neck) LN", lymph node dissection:
 No metastasis in 13 lymph nodes
 ("Rt. Level 3 (neck) LN", 0/2; "Rt. Level 4 (neck) LN", 0/4; "Lt. Level 3 (neck) LN", 0/3; "Lt. Level 4 (neck) LN", 0/4)
Tissue labelled "pyloric muscle", excision:
 No tumor involvement</t>
    <phoneticPr fontId="2" type="noConversion"/>
  </si>
  <si>
    <t>0 (complete response; no viable cancer cells)</t>
  </si>
  <si>
    <t>Robot-assisted McKeown operation (Thoracic esophagectomy, gastric conduit preperation, cervical esophagogastrostomy), 3-field LN dissection, feeding jejunostomy, pyloromyotomy, bullectomy; wedge resection of RUL(x1), adhesiolysis (JNS study-046, early group) [postop. ICU]</t>
    <phoneticPr fontId="2" type="noConversion"/>
  </si>
  <si>
    <t>right upper paratracheal and paraesophageal areas; left upper paratracheal area</t>
    <phoneticPr fontId="2" type="noConversion"/>
  </si>
  <si>
    <t>홍성배</t>
  </si>
  <si>
    <t>SNUH_237</t>
  </si>
  <si>
    <t>Esophagus and stomach, McKwon operation: 
No residual tumor
- Post-neoadjuvant treatment status: related pathology: (S 21-62779: squamous cell carcinoma, well differentiated)
- Tumor regression after neoadjuvant treatment: 0 (complete response; no viable cancer cells)
- Viable tumor after neoadjuvant treatment: 0%
- Resection margins: free from carcinoma
- Number of metastatic lymph nodes: 1
- Number of examined lymph nodes: 48
(periesophageal LN, 0/0; perigastric LN, 0/0; LN#1L, 0/1; LN#1R, 0/2; LN#2L, 0/5; LN#4L, 0/1; LN#5, 0/3; LN#7, 0/12; LN#8U, 0/1; LN#8M, 0/0; LN#8L, 0/7; LN#9, 0/4; LN#10, 0/1; LN#10L, 0/1; LN#17, 0/0; LN#17-1, 0/2; LN#17-2, 0/0; LN#17-3, 0/0; LN#18, 0/1; LN#19, 0/3; LN#20, 0/1; LN#106R, 1/3)
- Extranodal extension: absent
- Intramural metastasis: absent
- Lymphatic invasion: absent
- Venous invasion: absent
- Perineural invasion: absent
- Associated findings: ulceration and transmural fibrosis
- Pathologic stage (AJCC 8th): ypT0N1
Lymph node, "Rt. Level 3 LN", "Rt. Level 4 LN", "Lt. Level 3 LN", "Lt. Level 4 LN", lymph node dissection:
No metastasis in 27 lymph nodes
("Rt. Level 3 LN", 0/7; "Rt. Level 4 LN", 0/11; "Lt. Level 3 LN", 0/5; "Lt. Level 4 LN", 0/4)
Stomach, "gastric mass", excision:
GASTROINTESTINAL STROMAL TUMOR
- Preoperative systemic treatment: no systemic therapy
- Risk assessment by NCCN proposal (2010): no risk of tumor progression 
- Histologic type: spindle cell type
- Location of tumor: not specified
- Size of tumor: 0.9 x 0.5 x 0.4 cm 
- Extent of tumor: from proper muscle  to subserosa
- Mitosis count: &lt;1/50 high power fields
- Surgical margin: involved by tumor
- Safety margin: lateral margin, 0 cm; radial margin, 0 mm
- Increased cellularity: mild
- Coagulation necrosis: absent 
- Nuclear pleomorphism: mild
- Vascular invasion: not identified
- Rupture: not identified
- Pathologic staging (AJCC 8th): pT1
- G caterogy (mitotic rate): low mitotic rate, 5 or fewer per 50 HPF 
- Risk category by Joensuu, 2008 (Adopted by Korean Health Insurance, 2016): very low risk</t>
    <phoneticPr fontId="2" type="noConversion"/>
  </si>
  <si>
    <t>ypT0N1</t>
    <phoneticPr fontId="2" type="noConversion"/>
  </si>
  <si>
    <t>Robot-assisted McKeown operation (Thoracic esophagectomy, gastric conduit preperation, cervical esophagogastrostomy), 3-field LN dissection, feeding jejunostomy, pyloromyotomy, (JNS study-045, delayed group) [postop. ICU]</t>
  </si>
  <si>
    <t>2R</t>
    <phoneticPr fontId="2" type="noConversion"/>
  </si>
  <si>
    <t>24-29</t>
    <phoneticPr fontId="2" type="noConversion"/>
  </si>
  <si>
    <t>이상문</t>
  </si>
  <si>
    <t>SNUH_236</t>
  </si>
  <si>
    <t>Esophagus and stomach, McKwon operation: 
SQUAMOUS CELL CARCINOMA, poorly differentiated, residual
- Post-neoadjuvant treatment status: related pathology (S21-57092: SQUAMOUS CELL CARCINOMA, moderately differentiated)
- Tumor regression after neoadjuvant treatment: 1 (near-complete response; single cells or rare small groups of cancer cells)
- Viable tumor after neoadjuvant treatment: &lt;1%
- Location of tumor: middle thoracic
- Gross type: ulceroinfiltrative
- Size of tumor: 0.2 x 0.1 x 0.1cm
- Depth of invasion: muscularis propria
- Resection margins: free from carcinoma
   (Safety margin: proximal, 5.1cm; distal, 8.4cm; radial, 2.7mm)
- Number of metastatic lymph nodes: 0
- Number of examined lymph nodes: 66
(periesophageal LN, 0/0; perigastric LN, 0/1; LN#1L, 0/1; LN#1R, 0/0; LN#2L, 0/2; LN#4L, 0/3; LN#5, 0/4; LN#7, 0/8; LN#8U, 0/0; LN#8M, 0/4; LN#8L, 0/1; LN#9L, 0/2; LN#10L, 0/2; LN#17, 0/14; LN#18, 0/4; LN#19, 0/6; LN#20, 0/1; LN#106R, 0/3; Rt. level #4, 0/7; Lt. level #4, 0/3)
- Lymphatic invasion: absent
- Venous invasion: absent
- Perineural invasion: absent
- Tumor border: infiltrative
- Stromal reaction: none
- Precancerous lesion: absent
- Associated findings: ulceration
- Pathologic stage (AJCC 8th): ypT2N0
Note) 1. Histopathologic mapping procedure was performed.
        2. A parathyroid gland is included in "LN#1L".</t>
    <phoneticPr fontId="2" type="noConversion"/>
  </si>
  <si>
    <t>0.2 x 0.1 x 0.1cm</t>
  </si>
  <si>
    <t>Robot-assisted McKeown operation (Thoracic esophagectomy, gastric conduit preperation, cervical esophagogastrostomy), 3-field LN dissection, feeding jejunostomy, pyloromyoplasty (JNS study-041, delayed group) [postop. ICU]</t>
  </si>
  <si>
    <t>1R</t>
  </si>
  <si>
    <t>25-28</t>
  </si>
  <si>
    <r>
      <t>Previous malignancy: Breast ca (</t>
    </r>
    <r>
      <rPr>
        <sz val="10"/>
        <color theme="1"/>
        <rFont val="돋움"/>
        <family val="3"/>
        <charset val="129"/>
      </rPr>
      <t>하지만</t>
    </r>
    <r>
      <rPr>
        <sz val="10"/>
        <color theme="1"/>
        <rFont val="Arial"/>
        <family val="2"/>
      </rPr>
      <t xml:space="preserve"> 1995</t>
    </r>
    <r>
      <rPr>
        <sz val="10"/>
        <color theme="1"/>
        <rFont val="돋움"/>
        <family val="3"/>
        <charset val="129"/>
      </rPr>
      <t>년이라</t>
    </r>
    <r>
      <rPr>
        <sz val="10"/>
        <color theme="1"/>
        <rFont val="Arial"/>
        <family val="2"/>
      </rPr>
      <t xml:space="preserve"> ok)</t>
    </r>
    <phoneticPr fontId="2" type="noConversion"/>
  </si>
  <si>
    <t>최정옥</t>
  </si>
  <si>
    <t>SNUH_234</t>
  </si>
  <si>
    <r>
      <t xml:space="preserve">Esophagus and stomach, esophagectomy: 
MULTIPLE CARCINOMAs (x2)
1. No residual tumor (see note 2)
- Post-neoadjuvant treatment status: related pathology: (S21-40099: squamous cell carcinoma, moderately differentiated)
- Tumor regression after neoadjuvant treatment: 0 (complete response; no viable cancer cells)
- Viable tumor after neoadjuvant treatment: 0%
- Resection margins: free from carcinoma
- Number of metastatic lymph nodes: 1
- Number of examined lymph nodes: 47
(periesophageal LN, 0/0; perigastric LN, 0/1; LN#1L, 0/1; LN#2L, 0/1; LN#4L, 0/2; LN#5, 0/7; LN#7, 0/17; LN#8U, 0/0; LN#8M, 0/0; LN#8L, 0/0; LN#9L, 0/1; LN#16, 0/0; LN#17, 1/11; LN#18, 0/4; LN#106R, 0/2)
- Extranodal extension: absent (LN#17)
- Lymphatic invasion: absent
- Venous invasion: absent
- Perineural invasion: absent
- Associated findings: transmural fibrosis
- Pathologic stage (AJCC 8th): ypT0N1M1 (distant lymph node, "Lt. level #4") (see note 3)
2. SQUAMOUS CELL CARCINOMA, well differentiated, residual (see note 2)
- Location of tumor: lower thoracic
- Gross type: superficial
- Size of tumor: 4.4 x 2.6 x 0.1cm (size of carcinoma: up to 0.8 x 0.2 x 0.1cm)
- Depth of invasion: lamina propria, focal
- Resection margins: free from carcinoma
   (Safety margin: proximal, 7.0cm; distal, 5.9cm; radial, 4.0mm)
- Intramural metastasis: absent
- Lymphatic invasion: absent
- Venous invasion: absent
- Perineural invasion: absent
- Tumor border: expanding
- Stromal reaction: none
- Precancerous lesion: high grade dysplasia
- Associated findings: submucosal fibrosis
- Pathologic stage (AJCC 8th): ypT1a
Lymph node, "Lt. level #3", "Lt. level #4", "Rt. level #4", lymph node dissection: 
METASTATIC SQUAMOUS CELL CARCINOMA in one out of 22 lymph nodes (see note 3)
("Lt. level #3", 0/3, "Lt. level #4", 1/10, "Rt. level #4", 0/9)
- Extranodal extension: absent ("Lt. level #4")
Colon, excision: No tumor involvement 
Note) 1. Histopathologic mapping procedure was performed.
        2. </t>
    </r>
    <r>
      <rPr>
        <sz val="10"/>
        <color theme="1"/>
        <rFont val="돋움"/>
        <family val="3"/>
        <charset val="129"/>
      </rPr>
      <t>이전</t>
    </r>
    <r>
      <rPr>
        <sz val="10"/>
        <color theme="1"/>
        <rFont val="Arial"/>
        <family val="2"/>
      </rPr>
      <t xml:space="preserve"> </t>
    </r>
    <r>
      <rPr>
        <sz val="10"/>
        <color theme="1"/>
        <rFont val="돋움"/>
        <family val="3"/>
        <charset val="129"/>
      </rPr>
      <t>생검에서</t>
    </r>
    <r>
      <rPr>
        <sz val="10"/>
        <color theme="1"/>
        <rFont val="Arial"/>
        <family val="2"/>
      </rPr>
      <t xml:space="preserve"> </t>
    </r>
    <r>
      <rPr>
        <sz val="10"/>
        <color theme="1"/>
        <rFont val="돋움"/>
        <family val="3"/>
        <charset val="129"/>
      </rPr>
      <t>진단된</t>
    </r>
    <r>
      <rPr>
        <sz val="10"/>
        <color theme="1"/>
        <rFont val="Arial"/>
        <family val="2"/>
      </rPr>
      <t xml:space="preserve"> </t>
    </r>
    <r>
      <rPr>
        <sz val="10"/>
        <color theme="1"/>
        <rFont val="돋움"/>
        <family val="3"/>
        <charset val="129"/>
      </rPr>
      <t>식도암은</t>
    </r>
    <r>
      <rPr>
        <sz val="10"/>
        <color theme="1"/>
        <rFont val="Arial"/>
        <family val="2"/>
      </rPr>
      <t xml:space="preserve"> middle to upper thoracic lesion</t>
    </r>
    <r>
      <rPr>
        <sz val="10"/>
        <color theme="1"/>
        <rFont val="돋움"/>
        <family val="3"/>
        <charset val="129"/>
      </rPr>
      <t>으로</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부위에는</t>
    </r>
    <r>
      <rPr>
        <sz val="10"/>
        <color theme="1"/>
        <rFont val="Arial"/>
        <family val="2"/>
      </rPr>
      <t xml:space="preserve"> residual cancer</t>
    </r>
    <r>
      <rPr>
        <sz val="10"/>
        <color theme="1"/>
        <rFont val="돋움"/>
        <family val="3"/>
        <charset val="129"/>
      </rPr>
      <t>가</t>
    </r>
    <r>
      <rPr>
        <sz val="10"/>
        <color theme="1"/>
        <rFont val="Arial"/>
        <family val="2"/>
      </rPr>
      <t xml:space="preserve"> </t>
    </r>
    <r>
      <rPr>
        <sz val="10"/>
        <color theme="1"/>
        <rFont val="돋움"/>
        <family val="3"/>
        <charset val="129"/>
      </rPr>
      <t>관찰되지</t>
    </r>
    <r>
      <rPr>
        <sz val="10"/>
        <color theme="1"/>
        <rFont val="Arial"/>
        <family val="2"/>
      </rPr>
      <t xml:space="preserve"> </t>
    </r>
    <r>
      <rPr>
        <sz val="10"/>
        <color theme="1"/>
        <rFont val="돋움"/>
        <family val="3"/>
        <charset val="129"/>
      </rPr>
      <t>않습니다</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부위의</t>
    </r>
    <r>
      <rPr>
        <sz val="10"/>
        <color theme="1"/>
        <rFont val="Arial"/>
        <family val="2"/>
      </rPr>
      <t xml:space="preserve"> </t>
    </r>
    <r>
      <rPr>
        <sz val="10"/>
        <color theme="1"/>
        <rFont val="돋움"/>
        <family val="3"/>
        <charset val="129"/>
      </rPr>
      <t>원위부로</t>
    </r>
    <r>
      <rPr>
        <sz val="10"/>
        <color theme="1"/>
        <rFont val="Arial"/>
        <family val="2"/>
      </rPr>
      <t xml:space="preserve"> mainly high grade dysplasia with focal carcinomatous change</t>
    </r>
    <r>
      <rPr>
        <sz val="10"/>
        <color theme="1"/>
        <rFont val="돋움"/>
        <family val="3"/>
        <charset val="129"/>
      </rPr>
      <t>를</t>
    </r>
    <r>
      <rPr>
        <sz val="10"/>
        <color theme="1"/>
        <rFont val="Arial"/>
        <family val="2"/>
      </rPr>
      <t xml:space="preserve"> </t>
    </r>
    <r>
      <rPr>
        <sz val="10"/>
        <color theme="1"/>
        <rFont val="돋움"/>
        <family val="3"/>
        <charset val="129"/>
      </rPr>
      <t>보이는</t>
    </r>
    <r>
      <rPr>
        <sz val="10"/>
        <color theme="1"/>
        <rFont val="Arial"/>
        <family val="2"/>
      </rPr>
      <t xml:space="preserve"> </t>
    </r>
    <r>
      <rPr>
        <sz val="10"/>
        <color theme="1"/>
        <rFont val="돋움"/>
        <family val="3"/>
        <charset val="129"/>
      </rPr>
      <t>식도암이</t>
    </r>
    <r>
      <rPr>
        <sz val="10"/>
        <color theme="1"/>
        <rFont val="Arial"/>
        <family val="2"/>
      </rPr>
      <t xml:space="preserve"> </t>
    </r>
    <r>
      <rPr>
        <sz val="10"/>
        <color theme="1"/>
        <rFont val="돋움"/>
        <family val="3"/>
        <charset val="129"/>
      </rPr>
      <t>관찰되어</t>
    </r>
    <r>
      <rPr>
        <sz val="10"/>
        <color theme="1"/>
        <rFont val="Arial"/>
        <family val="2"/>
      </rPr>
      <t xml:space="preserve"> separate second carcinoma</t>
    </r>
    <r>
      <rPr>
        <sz val="10"/>
        <color theme="1"/>
        <rFont val="돋움"/>
        <family val="3"/>
        <charset val="129"/>
      </rPr>
      <t>로</t>
    </r>
    <r>
      <rPr>
        <sz val="10"/>
        <color theme="1"/>
        <rFont val="Arial"/>
        <family val="2"/>
      </rPr>
      <t xml:space="preserve"> </t>
    </r>
    <r>
      <rPr>
        <sz val="10"/>
        <color theme="1"/>
        <rFont val="돋움"/>
        <family val="3"/>
        <charset val="129"/>
      </rPr>
      <t>진단하였습니다</t>
    </r>
    <r>
      <rPr>
        <sz val="10"/>
        <color theme="1"/>
        <rFont val="Arial"/>
        <family val="2"/>
      </rPr>
      <t xml:space="preserve">. 
        3. </t>
    </r>
    <r>
      <rPr>
        <sz val="10"/>
        <color theme="1"/>
        <rFont val="돋움"/>
        <family val="3"/>
        <charset val="129"/>
      </rPr>
      <t>림프절</t>
    </r>
    <r>
      <rPr>
        <sz val="10"/>
        <color theme="1"/>
        <rFont val="Arial"/>
        <family val="2"/>
      </rPr>
      <t xml:space="preserve"> </t>
    </r>
    <r>
      <rPr>
        <sz val="10"/>
        <color theme="1"/>
        <rFont val="돋움"/>
        <family val="3"/>
        <charset val="129"/>
      </rPr>
      <t>전이는</t>
    </r>
    <r>
      <rPr>
        <sz val="10"/>
        <color theme="1"/>
        <rFont val="Arial"/>
        <family val="2"/>
      </rPr>
      <t xml:space="preserve"> LN#17 </t>
    </r>
    <r>
      <rPr>
        <sz val="10"/>
        <color theme="1"/>
        <rFont val="돋움"/>
        <family val="3"/>
        <charset val="129"/>
      </rPr>
      <t>및</t>
    </r>
    <r>
      <rPr>
        <sz val="10"/>
        <color theme="1"/>
        <rFont val="Arial"/>
        <family val="2"/>
      </rPr>
      <t xml:space="preserve"> "Rt. level #4"</t>
    </r>
    <r>
      <rPr>
        <sz val="10"/>
        <color theme="1"/>
        <rFont val="돋움"/>
        <family val="3"/>
        <charset val="129"/>
      </rPr>
      <t>에서</t>
    </r>
    <r>
      <rPr>
        <sz val="10"/>
        <color theme="1"/>
        <rFont val="Arial"/>
        <family val="2"/>
      </rPr>
      <t xml:space="preserve"> </t>
    </r>
    <r>
      <rPr>
        <sz val="10"/>
        <color theme="1"/>
        <rFont val="돋움"/>
        <family val="3"/>
        <charset val="129"/>
      </rPr>
      <t>관찰되어</t>
    </r>
    <r>
      <rPr>
        <sz val="10"/>
        <color theme="1"/>
        <rFont val="Arial"/>
        <family val="2"/>
      </rPr>
      <t xml:space="preserve"> </t>
    </r>
    <r>
      <rPr>
        <sz val="10"/>
        <color theme="1"/>
        <rFont val="돋움"/>
        <family val="3"/>
        <charset val="129"/>
      </rPr>
      <t>최종</t>
    </r>
    <r>
      <rPr>
        <sz val="10"/>
        <color theme="1"/>
        <rFont val="Arial"/>
        <family val="2"/>
      </rPr>
      <t xml:space="preserve"> </t>
    </r>
    <r>
      <rPr>
        <sz val="10"/>
        <color theme="1"/>
        <rFont val="돋움"/>
        <family val="3"/>
        <charset val="129"/>
      </rPr>
      <t>병기를</t>
    </r>
    <r>
      <rPr>
        <sz val="10"/>
        <color theme="1"/>
        <rFont val="Arial"/>
        <family val="2"/>
      </rPr>
      <t xml:space="preserve"> ypT0N1M1 </t>
    </r>
    <r>
      <rPr>
        <sz val="10"/>
        <color theme="1"/>
        <rFont val="돋움"/>
        <family val="3"/>
        <charset val="129"/>
      </rPr>
      <t>로</t>
    </r>
    <r>
      <rPr>
        <sz val="10"/>
        <color theme="1"/>
        <rFont val="Arial"/>
        <family val="2"/>
      </rPr>
      <t xml:space="preserve"> </t>
    </r>
    <r>
      <rPr>
        <sz val="10"/>
        <color theme="1"/>
        <rFont val="돋움"/>
        <family val="3"/>
        <charset val="129"/>
      </rPr>
      <t>진단하였습니다</t>
    </r>
    <r>
      <rPr>
        <sz val="10"/>
        <color theme="1"/>
        <rFont val="Arial"/>
        <family val="2"/>
      </rPr>
      <t>.</t>
    </r>
    <phoneticPr fontId="2" type="noConversion"/>
  </si>
  <si>
    <t xml:space="preserve">0 (complete response; no viable cancer cells) </t>
  </si>
  <si>
    <t>ypT0N1M1 / ypT1a</t>
    <phoneticPr fontId="2" type="noConversion"/>
  </si>
  <si>
    <t>McKeown operation (Thoracic esophagectomy via thoracotomy, gastric conduit preperation via laparotomy, cervical esophagogastrostomy), total 3-field LN dissection, feeding jejunostomy, pyloromyotomy, primary repair of colon (JNS study-035, delayed group) [postop. ICU]</t>
    <phoneticPr fontId="2" type="noConversion"/>
  </si>
  <si>
    <t>3P</t>
    <phoneticPr fontId="2" type="noConversion"/>
  </si>
  <si>
    <t>24-28</t>
  </si>
  <si>
    <t>김진영</t>
  </si>
  <si>
    <t>SNUH_229</t>
  </si>
  <si>
    <t>Esophagus and stomach, McKwon operation: 
SQUAMOUS CELL CARCINOMA, moderately differentiated, residual
- Post-neoadjuvant treatment status: related pathology: (S21-32379: squamous cell carcinoma, moderately differentiated)
- Tumor regression after neoadjuvant treatment: 1 (near-complete response; single cells or rare small groups of cancer cells)
- Viable tumor after neoadjuvant treatment: 2%
- Location of tumor: upper thoracic
- Gross type: ulceroinfiltrative
- Size of tumor: 0.4 x 0.3 x 0.3cm
- Depth of invasion: muscularis propria
- Resection margins: free from carcinoma
   (Safety margin: proximal, 3.9cm; distal, 12.2cm; radial, 1.6mm)
- Number of metastatic lymph nodes: 0
- Number of examined lymph nodes: 70
(periesophageal LN, 0/0; perigastric LN, 0/1; LN#2L, 0/4; LN#4L, 0/4; LN#7, 0/3; LN#8U, 0/1; LN#8M, 0/3; LN#8L, 0/2; LN#15, 0/2; LN#16, 0/0; LN#17, 0/9; LN#18, 0/3; LN#19, 0/0; LN#20, 0/2; LN#106R, 0/3; "Lt. level 3", 0/4; "Lt. level 4", 0/16; "Rt. level 3", 0/4; "Rt. level 4", 0/4; LN#5, 0/5)
- Intramural metastasis: absent
- Lymphatic invasion: absent
- Venous invasion: absent
- Perineural invasion: absent
- Tumor border: expanding
- Stromal reaction: none
- Precancerous lesion: absent
- Associated findings: transmural fibrosis, hemorrhage, and inflammation
- Pathologic stage (AJCC 8th): ypT2N0
Tissue labelled "pylorus", excision: No tumor involvement
Note) Histopathologic mapping procedure was performed.</t>
    <phoneticPr fontId="2" type="noConversion"/>
  </si>
  <si>
    <t>upper thoracic</t>
  </si>
  <si>
    <t>0.4 x 0.3 x 0.3cm</t>
  </si>
  <si>
    <t>Robot-assisted McKeown operation (Thoracic esophagectomy, gastric conduit preperation, cervical esophagogastrostomy), 3-field LN dissection, feeding jejunostomy, pyloromyoplasty [postop. ICU]</t>
  </si>
  <si>
    <t>paraesophageal LNs</t>
  </si>
  <si>
    <t>21-28</t>
    <phoneticPr fontId="2" type="noConversion"/>
  </si>
  <si>
    <t>김진완</t>
  </si>
  <si>
    <t>SNUH_228</t>
  </si>
  <si>
    <t>local, lung</t>
    <phoneticPr fontId="2" type="noConversion"/>
  </si>
  <si>
    <r>
      <rPr>
        <sz val="10"/>
        <color theme="1"/>
        <rFont val="돋움"/>
        <family val="3"/>
        <charset val="129"/>
      </rPr>
      <t>연고지</t>
    </r>
    <r>
      <rPr>
        <sz val="10"/>
        <color theme="1"/>
        <rFont val="Arial"/>
        <family val="2"/>
      </rPr>
      <t xml:space="preserve"> </t>
    </r>
    <r>
      <rPr>
        <sz val="10"/>
        <color theme="1"/>
        <rFont val="돋움"/>
        <family val="3"/>
        <charset val="129"/>
      </rPr>
      <t>근처로</t>
    </r>
    <r>
      <rPr>
        <sz val="10"/>
        <color theme="1"/>
        <rFont val="Arial"/>
        <family val="2"/>
      </rPr>
      <t xml:space="preserve"> </t>
    </r>
    <r>
      <rPr>
        <sz val="10"/>
        <color theme="1"/>
        <rFont val="돋움"/>
        <family val="3"/>
        <charset val="129"/>
      </rPr>
      <t>회송</t>
    </r>
    <phoneticPr fontId="2" type="noConversion"/>
  </si>
  <si>
    <t>Esophagus and stomach, ivor lewis operation: 
SQUAMOUS CELL CARCINOMA, moderately differentiated, residual
- Post-neoadjuvant treatment status: related pathology: (S 21-28128: SQUAMOUS CELL CARCINOMA, moderately differentiated)
- Tumor regression after neoadjuvant treatment: 1 (near-complete response; single cells or rare small groups of cancer cells)
- Viable tumor after neoadjuvant treatment: 2%
- Location of tumor: lower thoracic
- Gross type: superficial
- Size of tumor: 1.8 x 0.4 x 0.2cm
- Depth of invasion: muscularis propria
- Resection margins: free from carcinoma
   (Safety margin: proximal, 1.2cm; distal, 8.1cm; radial, 1.0mm)
- Number of metastatic lymph nodes: 2
- Number of examined lymph nodes: 73
(periesophageal LN, 0/0; perigastric LN, 0/0; LN#2L, 1/1; LN#4L, 0/0; LN#5, 0/4; LN#7, 0/7; LN#8U, 0/3; LN#8M, 0/4; LN#8L, 0/7; LN#10R, 0/2; LN#16, 0/1; LN#17, 0/5; LN#18, 0/1; LN#19, 0/3; LN#20, 0/5; LN#106R, 0/1; Rt. LV3, 0/5; Rt. LV4, 0/7; Lt. LV3, 0/3; Lt. LV4, 1/14)
- Intramural metastasis: absent
- Lymphatic invasion: absent
- Venous invasion: absent
- Perineural invasion: absent
- Tumor border: infiltrative
- Stromal reaction: none
- Precancerous lesion: absent
- Associated findings: none
- Pathologic stage (AJCC 8th): ypT2N1
Note) Histopathologic mapping procedure was performed.</t>
    <phoneticPr fontId="2" type="noConversion"/>
  </si>
  <si>
    <t>1.8 x 0.4 x 0.2cm</t>
  </si>
  <si>
    <t>Robotic Ivor Lewis operation (robotic esophagectomy, esophagogastrostomy), total three-field LN dissection, feeding jejunostomy, pyloromyotomy, pre-emptive multilevel intercostal nerve block, pre-emptive multilevel intercostal nerve block (JNS study-031, delayed group) [postop. ICU]</t>
  </si>
  <si>
    <t>27-30</t>
    <phoneticPr fontId="2" type="noConversion"/>
  </si>
  <si>
    <t>김광연</t>
  </si>
  <si>
    <t>SNUH_227</t>
  </si>
  <si>
    <t>Esophagus and stomach, McKeown operation:
No residual tumor 
- Post-neoadjuvant treatment status: related pathology: (S21-27829: squamous cell carcinoma)
- Tumor regression after neoadjuvant treatment: 0 (complete response; no viable cancer cells) 
- Viable tumor after neoadjuvant treatment: 0%
- Resection margins: free from carcinoma
- Number of metastatic lymph nodes: 0
- Number of examined lymph nodes: 79
(periesophageal LN, 0/0; perigastric LN, 0/0; LN#2L, 0/0; LN#4L, 0/0; LN#5, 0/7; LN#7, 0/10; LN#8U, 0/0; LN#8M, 0/2; LN#8L, 0/0; LN#9L, 0/1; LN#10R, 0/1; LN#15, 0/2; LN#16, 0/3; LN#17, 0/8; LN#18, 0/4; LN#19, 0/5; LN#20, 0/2; LN#106R, 0/2; Rt. level 3, 0/8; Lt. level 3, 0/9; Rt. level 4, 0/8; Lt. level 4, 0/7)
- Lymphatic invasion: absent
- Venous invasion: absent
- Perineural invasion: absent
- Precancerous lesion: absent
- Associated findings: transmural fibrosis
- Pathologic stage (AJCC 8th): ypT0N0
Note) Histopathologic mapping procedure was performed.</t>
    <phoneticPr fontId="2" type="noConversion"/>
  </si>
  <si>
    <t xml:space="preserve">0 (complete response; no viable cancer cells) </t>
    <phoneticPr fontId="2" type="noConversion"/>
  </si>
  <si>
    <t>ypT0N0</t>
    <phoneticPr fontId="2" type="noConversion"/>
  </si>
  <si>
    <t>Robot-assisted McKeown operation (Thoracic esophagectomy, gastric conduit preperation, cervical esophagogastrostomy), 3-field LN dissection, feeding jejunostomy, pyloromyoplasty (JNS study-030, early group) [postop. ICU]</t>
  </si>
  <si>
    <t>Rt. SCN and Rt. upper paratracheal area</t>
  </si>
  <si>
    <t>김석현</t>
  </si>
  <si>
    <t>SNUH_226</t>
  </si>
  <si>
    <r>
      <t>Esophagus and stomach, Ivor lewis operation: 
No residual tumor at primary tumor site
- Post-neoadjuvant treatment status: related pathology: (S21-20787: squamous cell carcinoma, moderately differentiated)
- Tumor regression after neoadjuvant treatment: 0 (complete response; no viable cancer cells) (see note 1)
- Viable tumor after neoadjuvant treatment: 0%
- Resection margins: free from carcinoma
- Number of metastatic lymph nodes: 1
- Number of examined lymph nodes: 83
(periesophageal LN, 0/0; perigastric LN, 0/0; LN#4L, 0/8 (see note 2); LN#5, 0/8; LN#7, 0/9; LN#8U, 0/1; LN#8M, 0/0; LN#8L, 0/5; LN#10L, 0/3; LN#10R, 0/0; LN#16, 0/2; LN#17, 0/6; LN#18, 0/3; LN#19, 0/5; LN#20, 0/2; LN#106, 1/6; "Rt. level 3", 0/1; "Rt. level 4", 0/5; "Lt. level 3", 0/9; "Lt. level 4", 0/10)
- Extracapsular extension: present (LN#106)
- Lymphatic invasion: absent
- Venous invasion: absent
- Perineural invasion: absent
- Precancerous lesion: absent
- Associated findings: transmural fibrosis
- Pathologic stage (AJCC 8th): ypT0N1
Tissue labelled "bronchial artery", excision: No tumor involvement
Note) 1. Tumor regression grade</t>
    </r>
    <r>
      <rPr>
        <sz val="10"/>
        <color theme="1"/>
        <rFont val="돋움"/>
        <family val="3"/>
        <charset val="129"/>
      </rPr>
      <t>는</t>
    </r>
    <r>
      <rPr>
        <sz val="10"/>
        <color theme="1"/>
        <rFont val="Arial"/>
        <family val="2"/>
      </rPr>
      <t xml:space="preserve"> modified Ryan scheme</t>
    </r>
    <r>
      <rPr>
        <sz val="10"/>
        <color theme="1"/>
        <rFont val="돋움"/>
        <family val="3"/>
        <charset val="129"/>
      </rPr>
      <t>에</t>
    </r>
    <r>
      <rPr>
        <sz val="10"/>
        <color theme="1"/>
        <rFont val="Arial"/>
        <family val="2"/>
      </rPr>
      <t xml:space="preserve"> </t>
    </r>
    <r>
      <rPr>
        <sz val="10"/>
        <color theme="1"/>
        <rFont val="돋움"/>
        <family val="3"/>
        <charset val="129"/>
      </rPr>
      <t>따라</t>
    </r>
    <r>
      <rPr>
        <sz val="10"/>
        <color theme="1"/>
        <rFont val="Arial"/>
        <family val="2"/>
      </rPr>
      <t xml:space="preserve"> primary tumor</t>
    </r>
    <r>
      <rPr>
        <sz val="10"/>
        <color theme="1"/>
        <rFont val="돋움"/>
        <family val="3"/>
        <charset val="129"/>
      </rPr>
      <t>에서</t>
    </r>
    <r>
      <rPr>
        <sz val="10"/>
        <color theme="1"/>
        <rFont val="Arial"/>
        <family val="2"/>
      </rPr>
      <t xml:space="preserve"> </t>
    </r>
    <r>
      <rPr>
        <sz val="10"/>
        <color theme="1"/>
        <rFont val="돋움"/>
        <family val="3"/>
        <charset val="129"/>
      </rPr>
      <t>평가하였습니다</t>
    </r>
    <r>
      <rPr>
        <sz val="10"/>
        <color theme="1"/>
        <rFont val="Arial"/>
        <family val="2"/>
      </rPr>
      <t xml:space="preserve">. </t>
    </r>
    <r>
      <rPr>
        <sz val="10"/>
        <color theme="1"/>
        <rFont val="돋움"/>
        <family val="3"/>
        <charset val="129"/>
      </rPr>
      <t>림프절</t>
    </r>
    <r>
      <rPr>
        <sz val="10"/>
        <color theme="1"/>
        <rFont val="Arial"/>
        <family val="2"/>
      </rPr>
      <t xml:space="preserve"> </t>
    </r>
    <r>
      <rPr>
        <sz val="10"/>
        <color theme="1"/>
        <rFont val="돋움"/>
        <family val="3"/>
        <charset val="129"/>
      </rPr>
      <t>전이를</t>
    </r>
    <r>
      <rPr>
        <sz val="10"/>
        <color theme="1"/>
        <rFont val="Arial"/>
        <family val="2"/>
      </rPr>
      <t xml:space="preserve"> </t>
    </r>
    <r>
      <rPr>
        <sz val="10"/>
        <color theme="1"/>
        <rFont val="돋움"/>
        <family val="3"/>
        <charset val="129"/>
      </rPr>
      <t>포함한다면</t>
    </r>
    <r>
      <rPr>
        <sz val="10"/>
        <color theme="1"/>
        <rFont val="Arial"/>
        <family val="2"/>
      </rPr>
      <t xml:space="preserve"> 2 (partial response; residual cancer with evident tumor regression but more than single cells or rare small groups of cancer cells)</t>
    </r>
    <r>
      <rPr>
        <sz val="10"/>
        <color theme="1"/>
        <rFont val="돋움"/>
        <family val="3"/>
        <charset val="129"/>
      </rPr>
      <t>으로</t>
    </r>
    <r>
      <rPr>
        <sz val="10"/>
        <color theme="1"/>
        <rFont val="Arial"/>
        <family val="2"/>
      </rPr>
      <t xml:space="preserve"> </t>
    </r>
    <r>
      <rPr>
        <sz val="10"/>
        <color theme="1"/>
        <rFont val="돋움"/>
        <family val="3"/>
        <charset val="129"/>
      </rPr>
      <t>평가할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
        2. Parathyroid tissue is included in LN#4L station.
        3. Histopathologic mapping procedure was performed.</t>
    </r>
    <phoneticPr fontId="2" type="noConversion"/>
  </si>
  <si>
    <t>0 (complete response; no viable cancer cells) (see note 1)</t>
  </si>
  <si>
    <t>Robotic Ivor Lewis operation (robotic esophagectomy, esophagogastrostomy), three-field LN dissection, feeding jejunostomy, pyloromyotomy, pre-emptive multilevel intercostal nerve block (JNS-027, delayed group)</t>
  </si>
  <si>
    <t>retrotracheal LN</t>
  </si>
  <si>
    <t>어명이</t>
  </si>
  <si>
    <t>SNUH_225</t>
  </si>
  <si>
    <t>Esophagus and stomach, McKweon operation: 
SQUAMOUS CELL CARCINOMA, moderately differentiated, residual
- Post-neoadjuvant treatment status: related pathology: (S21-17663: invasive squamous cell carcinoma)
- Tumor regression after neoadjuvant treatment: 2 (partial response; residual cancer with evident tumor regression but more than single cells or rare small groups of cancer cells)
- Viable tumor after neoadjuvant treatment: 40%
- Location of tumor: upper thoracic, middle thoracic
- Gross type: ulceroinfiltrative
- Size of tumor: 3.0 x 1.7 x 0.7cm
- Depth of invasion: adventitia
- Resection margins: free from carcinoma
   (Safety margin: proximal, 3.3cm; distal, 17.1cm; radial, 1.6mm)
- Number of metastatic lymph nodes: 3
- Number of examined lymph nodes: 65
(periesophageal LN, 0/0; perigastric LN, 0/1; peritumoral LN, 0/3; LN#2L, 0/8; LN#4L, 0/2; LN#5, 0/1; LN#7, 0/8; LN#8U, 0/1; LN#8M, 1/2; LN#8L, 0/3; LN#10R, 0/1; LN#16, 0/4; LN#17, 0/3; LN#18, 0/1; LN#19, 0/6; LN#20, 0/2; LN#106R, 1/2; "Lt level 3", 0/4; "Lt level 4", 1/1; "Rt level 3", 0/2; "Rt level 4", 0/10)
- Intramural metastasis: absent
- Lymphatic invasion: absent
- Venous invasion: absent
- Perineural invasion: PRESENT
- Tumor border: infiltrative
- Stromal reaction: none
- Precancerous lesion: absent
- Associated findings: none
- Pathologic stage (AJCC 8th): ypT3N2
Tissue labelled "Lt omohyoid", excision:
 No tumor involvement
Note) Histopathologic mapping procedure was performed.</t>
    <phoneticPr fontId="2" type="noConversion"/>
  </si>
  <si>
    <t>upper thoracic, middle thoracic</t>
  </si>
  <si>
    <t>3.0 x 1.7 x 0.7cm</t>
  </si>
  <si>
    <t>ypT3N1M1</t>
  </si>
  <si>
    <t>Robot-assisted McKeown operation (Thoracic esophagectomy, gastric conduit preperation, cervical esophagogastrostomy), three-field LN dissection, feeding jejunostomy, pyloromyotomy [postop. ICU]</t>
  </si>
  <si>
    <t>Lt. SCN and Lt. neck level IV</t>
  </si>
  <si>
    <t>cT3N0M1</t>
    <phoneticPr fontId="2" type="noConversion"/>
  </si>
  <si>
    <t>23-28</t>
  </si>
  <si>
    <t xml:space="preserve">구교선 </t>
  </si>
  <si>
    <t>SNUH_224</t>
  </si>
  <si>
    <t>remnant stomach, mediastinal LN, lung, pleura, bone</t>
    <phoneticPr fontId="2" type="noConversion"/>
  </si>
  <si>
    <t>Esophagus and stomach, McKwon operation: 
SQUAMOUS CELL CARCINOMA, moderately differentiated, residual
- Post-neoadjuvant treatment status: related pathology: (S 21-9541: squamous cell carcinoma, moderately differentiated)
- Tumor regression after neoadjuvant treatment: 1 (near-complete response; single cells or rare small groups of cancer cells)
- Viable tumor after neoadjuvant treatment: &lt;1%
- Location of tumor: upper thoracic
- Gross type: ulceroinfiltrative
- Size of tumor: up to &lt;1mm (size of ulcerative mass: 4.4 x 1.8 x 0.1cm)
- Depth of invasion: muscularis propria
- Resection margins: free from carcinoma
   (Safety margin: proximal, 0.6cm; distal, 12.8cm; radial, 0.4mm)
- Number of metastatic lymph nodes: 1
- Number of examined lymph nodes: 35
(LN#2L, 0/4; LN#4L, 0/1; LN#5, 0/2; LN#7, 0/8; LN#8U, 1/1; LN#8M, 0/1; LN#8L, 0/3; LN#16, 0/3; LN#17, 0/2; LN#18, 0/2; LN#106R, 0/3; left level 4, 0/2; left level 6, 0/0; right level 4, 0/3)
- Extracapsular extension: present (LN#8U)
- Intramural metastasis: absent
- Lymphatic invasion: PRESENT
- Venous invasion: absent
- Perineural invasion: PRESENT
- Tumor border: infiltrative
- Stromal reaction: none
- Precancerous lesion: absent
- Associated findings: transmural fibrosis
- Pathologic stage (AJCC 8th): ypT2N1
Note) Histopathologic mapping procedure was performed.</t>
    <phoneticPr fontId="2" type="noConversion"/>
  </si>
  <si>
    <t>up to &lt;1mm (size of ulcerative mass: 4.4 x 1.8 x 0.1cm)</t>
  </si>
  <si>
    <t>ypT2N1</t>
    <phoneticPr fontId="2" type="noConversion"/>
  </si>
  <si>
    <t>Robot-assisted McKeown operation (Thoracic esophagectomy, gastric conduit preperation, cervical esophagogastrostomy), Re-anastomosis of esophagogastrostomy, 3-field LN dissection, feeding jejunostomy, pyloromyotomy, (JNS study-019, delayed group) [postop. ICU]</t>
    <phoneticPr fontId="2" type="noConversion"/>
  </si>
  <si>
    <t>2R and 7</t>
  </si>
  <si>
    <t>22-24</t>
    <phoneticPr fontId="2" type="noConversion"/>
  </si>
  <si>
    <t>이경원</t>
  </si>
  <si>
    <t>SNUH_222</t>
  </si>
  <si>
    <t>Esophagus and stomach, Ivor lewis operation: 
SQUAMOUS CELL CARCINOMA, moderately differentiated, residual
- Post-neoadjuvant treatment status: related pathology: (S 21-5330: SQUAMOUS CELL CARCINOMA, moderately differentiated)
- Tumor regression after neoadjuvant treatment: 1 (near-complete response; single cells or rare small groups of cancer cells)
- Viable tumor after neoadjuvant treatment: &lt;1%
- Location of tumor: lower thoracic
- Gross type: unclassifiable
- Size of tumor: 0.4 x 0.1 x 0.1cm
- Depth of invasion: muscularis propria
- Resection margins: free from carcinoma
   (Safety margin: proximal, 4.7cm; distal, 8.8cm; radial, 2.5mm)
- Number of metastatic lymph nodes: 0
- Number of examined lymph nodes: 64
(periesophageal LN, 0/0; perigastric LN, 0/9; LN#2L, 0/1; LN#5, 0/3; LN#7, 0/6; LN#8U, 0/1; LN#8M, 0/0; LN#8L, 0/2; LN#16, 0/5; LN#17, 0/19; LN#18, 0/5; LN#19,  0/6; LN#20, 0/3; LN#106R, 0/4)
- Intramural metastasis: absent
- Lymphatic invasion: absent
- Venous invasion: absent
- Perineural invasion: absent
- Tumor border: infiltrative
- Stromal reaction: none
- Precancerous lesion: absent
- Associated findings: none
- Pathologic stage (AJCC 8th): ypT2N0
Tissue labelled "liver nodule (Fro#1)", excision:
 Dense fibrosis with no carcinoma
Note) Histopathologic mapping procedure was performed.</t>
    <phoneticPr fontId="2" type="noConversion"/>
  </si>
  <si>
    <t>unclassifiable</t>
  </si>
  <si>
    <t>0.4 x 0.1 x 0.1cm</t>
  </si>
  <si>
    <t>Robotic Ivor Lewis operation (robotic esophagectomy, esophagogastrostomy), total two-field LN dissection, feeding jejunostomy, pre-emptive multilevel intercostal nerve block</t>
  </si>
  <si>
    <t>26-30</t>
  </si>
  <si>
    <r>
      <t>Previous malignancy: Breast ca (</t>
    </r>
    <r>
      <rPr>
        <sz val="10"/>
        <color theme="1"/>
        <rFont val="돋움"/>
        <family val="3"/>
        <charset val="129"/>
      </rPr>
      <t>하지만</t>
    </r>
    <r>
      <rPr>
        <sz val="10"/>
        <color theme="1"/>
        <rFont val="Arial"/>
        <family val="2"/>
      </rPr>
      <t xml:space="preserve"> 2011</t>
    </r>
    <r>
      <rPr>
        <sz val="10"/>
        <color theme="1"/>
        <rFont val="돋움"/>
        <family val="3"/>
        <charset val="129"/>
      </rPr>
      <t>년이라</t>
    </r>
    <r>
      <rPr>
        <sz val="10"/>
        <color theme="1"/>
        <rFont val="Arial"/>
        <family val="2"/>
      </rPr>
      <t xml:space="preserve"> ok)</t>
    </r>
    <phoneticPr fontId="2" type="noConversion"/>
  </si>
  <si>
    <t>장희선</t>
  </si>
  <si>
    <t>SNUH_221</t>
  </si>
  <si>
    <t>local, liver, mediastinal LN</t>
    <phoneticPr fontId="2" type="noConversion"/>
  </si>
  <si>
    <t>2nd primary hypopharynx --&gt; esophageal ca meta -&gt; hospice</t>
    <phoneticPr fontId="2" type="noConversion"/>
  </si>
  <si>
    <t>Esophagus and stomach, ivor lewis operation: 
1. No residual tumor
- Post-neoadjuvant treatment status: related pathology: (S 20-65943: SQUAMOUS CELL CARCINOMA, moderately differentiated)
- Tumor regression after neoadjuvant treatment: 0 (complete response; no viable cancer cells)
- Viable tumor after neoadjuvant treatment: 100%
- Resection margins: free from carcinoma
- Number of metastatic lymph nodes: 1
- Number of examined lymph nodes: 119
(periesophageal LN, 0/0; perigastric LN, 0/1; LN#2L, 0/8; LN#5, 0/12; LN#4L, 0/3; LN#7, 0/17; LN#8U, 0/4; LN#8M, 0/4; LN#8L, 0/1; LN#9L, 0/3; LN#10R, 0/1; LN#17, 0/11; LN#18, 0/2; LN#19, 0/2; LN#20, 0/0; LN#106R, 0/5; LN#Lt lv3, 0/9; LN#Lt lv4, 1/11; LN#Rt lv3, 0/15; LN#Rt lv4, 0/10)
- Extracapsular extension: present (LN#Lt lv4)
- Intramural metastasis: absent
- Lymphatic invasion: absent
- Venous invasion: absent
- Perineural invasion: absent
- Stromal reaction: none
- Precancerous lesion: low grade dysplasia
- Associated findings: none
- Pathologic stage (AJCC 8th): ypT0N1
2. Leiomyoma (size: 0.6 x 0.5 cm), stomach
Note) Histopathologic mapping procedure was performed.</t>
    <phoneticPr fontId="2" type="noConversion"/>
  </si>
  <si>
    <t>Robotic Ivor Lewis operation (robotic esophagectomy, esophagogastrostomy), three-field LN dissection, feeding jejunostomy, pre-emptive multilevel intercostal nerve block</t>
  </si>
  <si>
    <t>cT2N1M0</t>
  </si>
  <si>
    <t>임헌배</t>
  </si>
  <si>
    <t>SNUH_219</t>
  </si>
  <si>
    <t>liver -&gt; lung, liver</t>
    <phoneticPr fontId="2" type="noConversion"/>
  </si>
  <si>
    <t>systemic therapy</t>
    <phoneticPr fontId="2" type="noConversion"/>
  </si>
  <si>
    <t xml:space="preserve">Esophagus and stomach, ivor Lewis operation:
No residual tumor
- Post-neoadjuvant treatment status: related pathology: (S 20-65509: squamous cell carcinoma)
- Tumor regression after neoadjuvant treatment: 0 (complete response; no viable cancer cells)
- Viable tumor after neoadjuvant treatment: 0%
- Resection margins: free from carcinoma
- Number of metastatic lymph nodes: 3
- Number of examined lymph nodes: 92
(periesophageal LN, 0/0; perigastric LN, 0/0; LN#2L, 0/1; LN#4L, 0/0; LN#5, 1/3; LN#7, 0/18; LN#8U, 0/3; LN#8M, 0/3; LN#8L, 0/6; LN#16, 0/0; LN#17, 0/18; LN#18, 0/0; LN#19, 0/4; LN#20, 0/1; LN#106R, 1/2; LN#Lt lv3, 0/2; LN#Lt lv4, 0/12; LN#Rt lv3, 0/5; LN#Th2L 2, 1/9; LN#Rt lv4, 0/5)
- Extracapsular extension: absent
- Intramural metastasis: absent
- Lymphatic invasion: absent
- Venous invasion: absent
- Perineural invasion: absent
- Stromal reaction: submucosal fibrosis
- Precancerous lesion: absent
- Associated findings: none
- Pathologic stage (AJCC 8th): ypT0N2
Note) 1. Histopathologic mapping procedure was performed.
        2. Thyroid tissue is included in "LN#4L". </t>
    <phoneticPr fontId="2" type="noConversion"/>
  </si>
  <si>
    <t>ypT0N2</t>
    <phoneticPr fontId="2" type="noConversion"/>
  </si>
  <si>
    <t>Robotic Ivor Lewis operation (robotic esophagectomy, esophagogastrostomy), three-field LN dissection, 2L dissection via upper partial sternotomy,  feeding jejunostomy, pre-emptive multilevel intercostal nerve block</t>
  </si>
  <si>
    <t>Multiple metastatic mediastinal LNs</t>
    <phoneticPr fontId="2" type="noConversion"/>
  </si>
  <si>
    <t>cTxN2M0</t>
  </si>
  <si>
    <t>25, 27-30</t>
    <phoneticPr fontId="2" type="noConversion"/>
  </si>
  <si>
    <t>문준호</t>
  </si>
  <si>
    <t>SNUH_218</t>
  </si>
  <si>
    <t>in</t>
    <phoneticPr fontId="2" type="noConversion"/>
  </si>
  <si>
    <t>local</t>
    <phoneticPr fontId="2" type="noConversion"/>
  </si>
  <si>
    <t>death</t>
    <phoneticPr fontId="2" type="noConversion"/>
  </si>
  <si>
    <t>Esophagus and stomach, esophagectomy: 
SQUAMOUS CELL CARCINOMA, moderately differentiated, residual
- Post-neoadjuvant treatment status: related pathology: (S 20-59706: squamous cell carcinoma, moderately differentiated)
- Tumor regression after neoadjuvant treatment: 2 (partial response; residual cancer with evident tumor regression but more than single cells or rare small groups of cancer cells)
- Viable tumor after neoadjuvant treatment: 40%
- Location of tumor: lower thoracic
- Gross type: ulceroinfiltrative
- Size of tumor: 2.0 x 1.8 x 0.8cm
- Depth of invasion: adventitia
- Resection margins: free from carcinoma
   (Safety margin: proximal, 3.0cm; distal, 9.5cm; radial, 2.3cm)
- Number of metastatic lymph nodes: 1
- Number of examined lymph nodes: 61
(periesophageal LN, 0/0; perigastric LN, 0/0; LN#2L (see note 2), 0/0; LN#4L, 0/1; LN#5, 0/5; LN#7, 0/2; LN#8M, 0/1; LN#8L, 0/1; LN#8V, 0/5; LN#10R, 0/1; LN#16, 0/2; LN#17, 0/10; LN#18, 0/3; LN#19, 0/3; LN#20, 0/5; LN#106R, 1/3; LN#Lt lv3, 0/7; LN#Lt lv4, 0/1; LN#Rt lv3, 0/5; LN#Rt lv4, 0/6)
- Intramural metastasis: absent
- Lymphatic invasion: absent
- Venous invasion: absent
- Perineural invasion: absent
- Tumor border: infiltrative
- Stromal reaction: desmoplasia
- Precancerous lesion: absent
- Associated findings: none
- Pathologic stage (AJCC 8th): ypT3N1
Note) 
1. Histopathologic mapping procedure was performed.
2. Involuted thymic tissue is included in "LN#2L".</t>
    <phoneticPr fontId="2" type="noConversion"/>
  </si>
  <si>
    <t>2.0 x 1.8 x 0.8cm</t>
  </si>
  <si>
    <t>Robotic Ivor Lewis operation (robotic esophagectomy, esophagogastrostomy), three-field LN dissection, feeding jejunostomy, pre-emptive multilevel intercostal nerve block (JNS study-009, delayed group)</t>
  </si>
  <si>
    <t>Rt. paratracheal area</t>
  </si>
  <si>
    <t>편용범</t>
  </si>
  <si>
    <t>SNUH_217</t>
  </si>
  <si>
    <t>NED, pneumonia</t>
    <phoneticPr fontId="2" type="noConversion"/>
  </si>
  <si>
    <r>
      <t xml:space="preserve">Esophagus and stomach, ivor lewis operation: 
No residual tumor (at primary tumor site)
- Post-neoadjuvant treatment status: related pathology: (S 20-61039: squamous cell carcinoma, moderately to poorly differentiated) 
- Tumor regression after neoadjuvant treatment: 0 (complete response; no viable cancer cells)
- Viable tumor after neoadjuvant treatment: 0% (see note #2)
- Resection margins: free from carcinoma
- Number of metastatic lymph nodes: 2
- Number of examined lymph nodes: 56
(periesophageal LN, 0/0; perigastric LN, 0/0; LN#2L, 0/0; LN#4L, 0/0; LN#5, 0/9; LN#7, 0/6; LN#8U, 0/5; LN#8M, 0/1; LN#8L, 0/1; LN#16, 1/2; LN#17, 0/10; LN#18a, 0/6; LN#19a, 0/0; LN#20a, 0/1; LN#106R, 1/2; "Rt. Level III", 0/2; "Rt. Level IV", 0/6; "Lt. level III", 0/2; "Lt. level IV", 0/3)
- Extracapsular extension: absent
- Intramural metastasis: absent
- Lymphatic invasion: absent
- Venous invasion: absent
- Perineural invasion: absent
- Associated findings: epithelial hyperplasia
- Pathologic stage (AJCC 8th): ypT0N1
Note) 1. Histopathologic mapping procedure was performed.
        2. Tumor regression grade </t>
    </r>
    <r>
      <rPr>
        <sz val="10"/>
        <color theme="1"/>
        <rFont val="돋움"/>
        <family val="3"/>
        <charset val="129"/>
      </rPr>
      <t>및</t>
    </r>
    <r>
      <rPr>
        <sz val="10"/>
        <color theme="1"/>
        <rFont val="Arial"/>
        <family val="2"/>
      </rPr>
      <t xml:space="preserve"> viable tumor</t>
    </r>
    <r>
      <rPr>
        <sz val="10"/>
        <color theme="1"/>
        <rFont val="돋움"/>
        <family val="3"/>
        <charset val="129"/>
      </rPr>
      <t>는</t>
    </r>
    <r>
      <rPr>
        <sz val="10"/>
        <color theme="1"/>
        <rFont val="Arial"/>
        <family val="2"/>
      </rPr>
      <t xml:space="preserve"> primary tumor site</t>
    </r>
    <r>
      <rPr>
        <sz val="10"/>
        <color theme="1"/>
        <rFont val="돋움"/>
        <family val="3"/>
        <charset val="129"/>
      </rPr>
      <t>에서</t>
    </r>
    <r>
      <rPr>
        <sz val="10"/>
        <color theme="1"/>
        <rFont val="Arial"/>
        <family val="2"/>
      </rPr>
      <t xml:space="preserve"> </t>
    </r>
    <r>
      <rPr>
        <sz val="10"/>
        <color theme="1"/>
        <rFont val="돋움"/>
        <family val="3"/>
        <charset val="129"/>
      </rPr>
      <t>평가하였습니다</t>
    </r>
    <r>
      <rPr>
        <sz val="10"/>
        <color theme="1"/>
        <rFont val="Arial"/>
        <family val="2"/>
      </rPr>
      <t xml:space="preserve">. </t>
    </r>
    <r>
      <rPr>
        <sz val="10"/>
        <color theme="1"/>
        <rFont val="돋움"/>
        <family val="3"/>
        <charset val="129"/>
      </rPr>
      <t>림프절</t>
    </r>
    <r>
      <rPr>
        <sz val="10"/>
        <color theme="1"/>
        <rFont val="Arial"/>
        <family val="2"/>
      </rPr>
      <t xml:space="preserve"> </t>
    </r>
    <r>
      <rPr>
        <sz val="10"/>
        <color theme="1"/>
        <rFont val="돋움"/>
        <family val="3"/>
        <charset val="129"/>
      </rPr>
      <t>전이는</t>
    </r>
    <r>
      <rPr>
        <sz val="10"/>
        <color theme="1"/>
        <rFont val="Arial"/>
        <family val="2"/>
      </rPr>
      <t xml:space="preserve"> </t>
    </r>
    <r>
      <rPr>
        <sz val="10"/>
        <color theme="1"/>
        <rFont val="돋움"/>
        <family val="3"/>
        <charset val="129"/>
      </rPr>
      <t>관찰됩니다</t>
    </r>
    <r>
      <rPr>
        <sz val="10"/>
        <color theme="1"/>
        <rFont val="Arial"/>
        <family val="2"/>
      </rPr>
      <t>.</t>
    </r>
    <phoneticPr fontId="2" type="noConversion"/>
  </si>
  <si>
    <t>ypT0N1</t>
  </si>
  <si>
    <t>Robotic Ivor Lewis operation (robotic esophagectomy, esophagogastrostomy), three-field LN dissection, feeding jejunostomy, pre-emptive multilevel intercostal nerve block (JNS study-007, delayed group)</t>
  </si>
  <si>
    <t>1R</t>
    <phoneticPr fontId="2" type="noConversion"/>
  </si>
  <si>
    <t>29-32</t>
    <phoneticPr fontId="2" type="noConversion"/>
  </si>
  <si>
    <t>김철규</t>
  </si>
  <si>
    <t>SNUH_216</t>
  </si>
  <si>
    <t>mediastinal LN</t>
    <phoneticPr fontId="2" type="noConversion"/>
  </si>
  <si>
    <t>Esophagus and stomach, ivor lewis operation: 
SQUAMOUS CELL CARCINOMA, moderately differentiated, residual
- Post-neoadjuvant treatment status: related pathology: (S20-49559: SQUAMOUS CELL CARCINOMA, moderately differentiated)
- Tumor regression after neoadjuvant treatment: 3 (poor or no response; extensive residual cancer with no evident tumor regression)
- Viable tumor after neoadjuvant treatment: 60%
- Location of tumor: lower thoracic
- Gross type: ulceroinfiltrative
- Size of tumor: 4.0 x 3.6 x 0.8cm
- Depth of invasion: adventitia
- Resection margins: free from carcinoma
   (Safety margin: proximal, 3.8cm; distal, 11.5cm; radial, 0.7mm)
- Number of metastatic lymph nodes: 1
- Number of examined lymph nodes: 69
(periesophageal LN, 0/0; perigastric LN, 0/0; peritumoral LN, 0/1; LN#2L, 0/1; LN#4L, 0/3; LN#7, 0/6; LN#8L, 0/6; LN#8U, 0/3; LN#16, 0/8; LN#17, 1/8; LN#18, 0/1; LN#19, 0/2; LN#20, 0/4; LN#106R, 0/2; LN# lt. level #3, 0/7; LN# lt. level #4, 0/9; LN# rt. Level #3, 0/5; LN# rt. Level #4, 0/3)
- Extracapsular extension: present (LN#17)
- Intramural metastasis: absent
- Lymphatic invasion: PRESENT
- Venous invasion: absent
- Perineural invasion: PRESENT
- Tumor border: infiltrative
- Stromal reaction: none
- Precancerous lesion: absent
- Associated findings: transmural fibrosis, foreign body reaction
- Pathologic stage (AJCC 8th): ypT3N1
Tissue labelled "bronchial artery", excision: No tumor involvement
Tissue labelled "stomach stump", excision: No tumor involvement
Tissue labelled "esophageal R/M", excision: No tumor involvement
Note) Histopathologic mapping procedure was performed.</t>
    <phoneticPr fontId="2" type="noConversion"/>
  </si>
  <si>
    <t>4.0 x 3.6 x 0.8cm</t>
  </si>
  <si>
    <t>3 (poor or no response; extensive residual cancer with no evident tumor regression)</t>
  </si>
  <si>
    <t>Ivor Lewis operation (esophagectomy via thoracotomy, gastric conduit preparation via laparotomy), feeding jejunostomy, three-field LN dissection</t>
  </si>
  <si>
    <t>1R and 4L</t>
  </si>
  <si>
    <t>30-35</t>
    <phoneticPr fontId="2" type="noConversion"/>
  </si>
  <si>
    <t>김택중</t>
  </si>
  <si>
    <t>SNUH_214</t>
  </si>
  <si>
    <t>Esophagus and stomach, esophagectomy: 
SQUAMOUS CELL CARCINOMA, moderately differentiated, residual
- Tumor regression after neoadjuvant treatment: 2 (partial response; residual cancer with evident tumor regression but more than single cells or rare small groups of cancer cells)
- Viable tumor after neoadjuvant treatment: 10%
- Location of tumor: lower thoracic
- Gross type: superficial
- Size of tumor: 1.6 x 1.3 x 0.2cm
- Depth of invasion: muscularis mucosa
- Resection margins: free from carcinoma
   (Safety margin: proximal, 3.2cm; distal, 7.3cm; radial, 6.0mm)
- Number of metastatic lymph nodes: 0
- Number of examined lymph nodes: 118
(LN Lt. lv3, 0/1; LN Lt. lv4, 0/12; LN Rt. lv3, 0/11; LN Rt. lv4, 0/8; Rt. Recurrent laryngeal LN, 0/8; LN#1L, 0/2; LN#2L, 0/5; LN#4L, 0/11; LN#5, 0/10; LN#7, 0/14; LN#8U, 0/3; LN#8M, 0/3; LN#8L, 0/2; LN#9L, 0/1; LN#15, 0/1; LN#16, 0/1; LN#17, 0/12; LN#18, 0/9; LN#19, 0/3)
- Intramural metastasis: absent
- Lymphatic invasion: absent
- Venous invasion: absent
- Perineural invasion: absent
- Tumor border: infiltrative
- Stromal reaction: none
- Precancerous lesion: absent
- Associated findings: hyperplastic muscularis mucosa
- Pathologic stage (AJCC 8th): ypT1aN0
Note) Histopathologic mapping procedure was performed.</t>
    <phoneticPr fontId="2" type="noConversion"/>
  </si>
  <si>
    <t>1.6 x 1.3 x 0.2cm</t>
  </si>
  <si>
    <t>ypT1aN0</t>
  </si>
  <si>
    <t>Robotic Ivor Lewis operation (robotic esophagectomy, esophagogastrostomy), 3FLND, feeding jejunostomy, pre-emptive multilevel intercostal nerve block (JNS study-001)</t>
  </si>
  <si>
    <t>이덕만</t>
  </si>
  <si>
    <t>SNUH_213</t>
  </si>
  <si>
    <t>liver</t>
    <phoneticPr fontId="2" type="noConversion"/>
  </si>
  <si>
    <r>
      <t xml:space="preserve">M/ liver, </t>
    </r>
    <r>
      <rPr>
        <sz val="10"/>
        <color theme="1"/>
        <rFont val="돋움"/>
        <family val="3"/>
        <charset val="129"/>
      </rPr>
      <t>수술</t>
    </r>
    <r>
      <rPr>
        <sz val="10"/>
        <color theme="1"/>
        <rFont val="Arial"/>
        <family val="2"/>
      </rPr>
      <t xml:space="preserve"> </t>
    </r>
    <r>
      <rPr>
        <sz val="10"/>
        <color theme="1"/>
        <rFont val="돋움"/>
        <family val="3"/>
        <charset val="129"/>
      </rPr>
      <t>취소</t>
    </r>
    <phoneticPr fontId="2" type="noConversion"/>
  </si>
  <si>
    <t>Distal Esophagus and proximal stomach, esophagectomy and proximal gastrectomy:
SQUAMOUS CELL CARCINOMA, moderately differentiated (G2), residual
- Neoadjuvant treatment: chemoradiation therapy (S 20-16265: SQUAMOUS CELL CARCINOMA, moderately differentiated)
- Tumor regression grade: 2 (partial response; residual cancer with evident tumor regression but more than single cells or rare small groups of cancer cells)
- Location of tumor: lower thoracic 
- Size of tumor: 13.8 x 4.7 x 0.6 cm including extensive lymphotic invasion and high grade dysplasia
- Gross type: unclassfiable
- Depth of invasion: invades muscularis propria
- Surgical margin: free from carcinoma
- Safety margin: proximal margin, 2.1 cm; distal margin, 9 cm; radial margin, 2.5 mm 
- Number of metastatic lymph nodes: 14
- Number of examined lymph nodes: 98
  (lesser curvature LN, 1/4; peritumoral LN, 1/3; LN#2L, 2/2; LN#2R, 0/3; LN#4L, 4/4; LN#4R, 0/7; LN#5, 0/8; LN#7, 1/20; LN#8U, 0/3; LN#18, 0/4; LN#19, 2/5; Rt reccurent laryngeal LN, 0/7; Rt Level 3 LN, 0/15; Rt level 4 LN, 3/11; "Enlarged LN", 0/2)
- Lymphatic invasion: mural and extramural, intratumoral and peritumoral 
- Venous invasion: not identified 
- Perineural invasion: not identified 
- Tumor border: infiltrative
- Stromal reaction: none
- Intramural metastasis: not identified
- Precancerous lesion: high grade dysplasia
Pathologic staging (AJCC 8th)
- pT category: ypT2, invades muscularis propria
- pN category: ypN3, metastasis in 7 or more regional lymph nodes
- pM category: pM1a, Metastasis to one site or organ is identified without peritoneal metastasis ("Rt level 4 LN")
Tissue labeled "pleural seeing", excision:
 Fibroadipose tissue (Fro#1) with 
  inflammatory cell infiltration
Note) Histopathologic mapping procedure was performed</t>
    <phoneticPr fontId="2" type="noConversion"/>
  </si>
  <si>
    <t>unclassfiable</t>
  </si>
  <si>
    <t>13.8 x 4.7 x 0.6 cm</t>
  </si>
  <si>
    <t>grade: 2 (partial response; residual cancer with evident tumor regression but more than single cells or rare small groups of cancer cells)</t>
  </si>
  <si>
    <t>ypT2N3M1</t>
  </si>
  <si>
    <t>Robot-assisted esophagectomy, cervical esophagogastrostomy, three field LN dissection; pre-emptive multilevel intercostal nerve block</t>
  </si>
  <si>
    <t>left gastric and prevascular areas</t>
    <phoneticPr fontId="2" type="noConversion"/>
  </si>
  <si>
    <t>25-34</t>
    <phoneticPr fontId="2" type="noConversion"/>
  </si>
  <si>
    <t>박상원</t>
  </si>
  <si>
    <t>SNUH_208</t>
  </si>
  <si>
    <t>Esophagus and stomach, esophagectomy;
 No residual tumor
- Neoadjuvant treatment: chemoradiation therapy
- Tumor regression grade: 0 (complete response; no viable cancer cells)
- Surgical margin: free from carcinoma (including Fro#2)
- Number of metastatic lymph nodes: 0
- Number of examined lymph nodes: 58
  (LN#2L, 0/2; LN#4L, 0/2; LN#5, 0/6; LN#7, 0/2; LN#8L, 0/1; LN#8M, 0/0; LN#8U, 0/1; LN#9, 0/1; LN#11, 0/2; LN#10L, 0/1; LN#16, 0/2; LN#17, 0/14; LN#18, 0/4; LN#106R, 0/2; Lt. Level 4, 0/11; Rt. Level 4, 0/7)
- Lymphatic invasion: not identified 
- Venous invasion: not identified 
- Perineural invasion: not identified 
- Tumor border: not applicable
- Stromal reaction: not applicable
- Intramural metastasis: not identified
Pathologic staging (AJCC 8th)
- pT category: ypT0, no evidence of residual primary tumor
- pN category: ypN0, no metastasis in regional lymph nodes
Tissue labeled "LN#8L", lymph node disssection:
Benign neurogenic tumor,
 suggestive of neurofibroma
Esophagus, "proximal R/M (Fro#1)" and "muxosa#1 (Fro#3), resection:
1. No tumor involvement
2. Squamous metaplasia in submucosal glands</t>
    <phoneticPr fontId="2" type="noConversion"/>
  </si>
  <si>
    <t>grade: 0 (complete response; no viable cancer cells)</t>
  </si>
  <si>
    <t>Robot-assisted esophagectomy, intra-thoracic esophagogastrostomy, three-field LN dissection</t>
  </si>
  <si>
    <t>imrrt</t>
    <phoneticPr fontId="2" type="noConversion"/>
  </si>
  <si>
    <t>1R, 2L, Rt. supraclavicular area</t>
  </si>
  <si>
    <t>34-40</t>
  </si>
  <si>
    <t>이양구</t>
  </si>
  <si>
    <t>SNUH_206</t>
  </si>
  <si>
    <t>Esophagus and stomach, esophagectomy;
No residual tumor 
- Neoadjuvant treatment: chemoradiation therapy
- Tumor regression grade: 0 (complete response; no viable cancer cells)
- Surgical margin: free from carcinoma
- Number of metastatic lymph nodes: 0
- Number of examined lymph nodes: 30
  (greater curvature LN, 0/1; LN#2R. 0/10; LN#2L, 0/1; LN#4R, 0/2; LN#4L, 0/1; LN#5, 0/5; LN#7, 0/5; LN#8u, 0/0; LN#17, 0/0; LN#106R, 0/5)
- Lymphatic invasion: not identified 
- Venous invasion: not identified 
- Perineural invasion: not identified 
- Tumor border: not applicable
- Stromal reaction: not applicable
- Intramural metastasis: not identified
- Precancerous lesion: not identified
- Associated finding: A lymph node showing chemoradiation therapy effect (degenerative keratin materials and foreing body reaction) in LN#106R station
- Additional finding: A 0.6 x 0.4 cm sized parathyroid tissue is included in LN#2L station
Lymph node, neck, dissection:
No metastasis in 17 lymph nodes ("Rt. LV 3", 0/4; "Rt LV 4", 0/3; "Lt LV 3", 0/0; "Lt LV 4", 0/10)
Pathologic staging (AJCC 8th)
- ypT category: ypT0, no evidence of primary tumor
- ypN category: ypN0, no metastasis in regional lymph nodes</t>
    <phoneticPr fontId="2" type="noConversion"/>
  </si>
  <si>
    <t>Robot-assisted esophagectomy, cervical esophagogastrostomy, three-field LN dissection</t>
  </si>
  <si>
    <t>25-28</t>
    <phoneticPr fontId="2" type="noConversion"/>
  </si>
  <si>
    <t>심영기</t>
  </si>
  <si>
    <t>SNUH_204</t>
  </si>
  <si>
    <t>lung, liver, both SCN, pleura</t>
    <phoneticPr fontId="2" type="noConversion"/>
  </si>
  <si>
    <t>In, out, distal</t>
    <phoneticPr fontId="2" type="noConversion"/>
  </si>
  <si>
    <t>anastomosis site, upper mediasitnum</t>
    <phoneticPr fontId="2" type="noConversion"/>
  </si>
  <si>
    <t>Esopahgus and stomach, McKeown operation:
SQUAMOUS CELL CARCINOMA, poorly differentiated (G3)
- Neoadjuvant treatment: chemoradiation therapy
- Tumor regression grade: 1 (near-complete response; single cells or rare small groups of cancer cells)
- Location of tumor: middle thoracic
- Size of tumor: 0.8 x 0.8 x 0.15 cm
- Gross type: unclassfiable
- Depth of invasion: invades submucosa; depth of submucosal invasion, 0.45 mm
- Surgical margin: free from carcinoma
- Safety margin: proximal margin, 4.5 cm; distal margin, 10.8 cm; radial margin, 3.5 mm
- Number of metastatic lymph nodes: 5
- Number of examined lymph nodes: 63
  (LN#2L2/4; LN#4L1/3; LN#50/4; LN#70/5; LN#8L1/8; LN#8M0/0; LN#8U0/2; LN#160/1; LN#170/8; LN#180/3; LN#106R1/5; LN#Lv4 Lt0/10; LN#Lv4 Rt0/10)
- Lymphatic invasion: not identified 
- Venous invasion: not identified 
- Perineural invasion: not identified 
- Tumor border: infiltrative
- Stromal reaction: none
- Intramural metastasis: not identified
- Precancerous lesion: not identified
Pathologic staging (AJCC 8th)
- pT category: ypT1b, invades submucosa
- pN category: ypN2, metastasis in 3-6 regional lymph nodes
Tissue labelled "bronchial artery": No tumor involvement
Note) Histopathologic mapping procedure was performed.</t>
    <phoneticPr fontId="2" type="noConversion"/>
  </si>
  <si>
    <t>0.8 x 0.8 x 0.15 cm</t>
  </si>
  <si>
    <t>grade: 1 (near-complete response; single cells or rare small groups of cancer cells)</t>
  </si>
  <si>
    <t>ypT1bN2</t>
    <phoneticPr fontId="2" type="noConversion"/>
  </si>
  <si>
    <t>Robot-assisted esophagectomy, cervical esophagogastrostomy, three-field LN dissection; pre-emptive multi-level intercostal nerve block</t>
  </si>
  <si>
    <t>eso mass, 1R, 2R</t>
    <phoneticPr fontId="2" type="noConversion"/>
  </si>
  <si>
    <t>2R, Rt. SCL</t>
    <phoneticPr fontId="2" type="noConversion"/>
  </si>
  <si>
    <t>cT2N1M1</t>
    <phoneticPr fontId="2" type="noConversion"/>
  </si>
  <si>
    <t>이욱형</t>
  </si>
  <si>
    <t>SNUH_200</t>
  </si>
  <si>
    <t>pall DP #6 (20.11.19~ 21.3.22)</t>
    <phoneticPr fontId="2" type="noConversion"/>
  </si>
  <si>
    <t>In, out</t>
    <phoneticPr fontId="2" type="noConversion"/>
  </si>
  <si>
    <t>cervical retrotracheal area, bronchus</t>
  </si>
  <si>
    <t>on pall chemo</t>
    <phoneticPr fontId="2" type="noConversion"/>
  </si>
  <si>
    <t>Esophagus, partial esophagectomy:
SQUAMOUS CELL CARCINOMA, moderately differentiated (G2), residual
- Neoadjuvant treatment: chemoradiation therapy
- Tumor regression grade: 1 (near-complete response; single cells or rare small groups of cancer cells)
- Location of tumor: lower thoracic
- Size of tumor extent: 1.2 x 1.0 x 0.1 cm (see note)
- Gross type: ulceroinfiltrative
- Depth of invasion: invades submucosa
- Surgical margin: free from carcinoma
- Safety margin: one margin: 2.5 cm; the other margin: 4.0 cm; radial margin, 4 mm
- Number of metastatic lymph nodes: 1
- Number of examined lymph nodes: 43
  (LN#2, 0/2; LN#4, 0/5; LN#4L, 0/4; LN#6 neck, 0/1; LN#7, 0/8; LN#8L, 0/0; LN#9, 0/2; LN#15, 0/0; LN#16, 0/3; LN#17, 0/17; LN#106R, 1/1)
- Lymphatic invasion: not identified 
- Venous invasion: not identified 
- Perineural invasion: not identified 
- Tumor border: infiltrative
- Stromal reaction: none
- Intramural metastasis: not identified
- Precancerous lesion: not identified
- Associated finding: ulcer
Pathologic staging (AJCC 8th)
- pT category: pT1b, invades submucosa
- pN category: ypN1, metastasis in 1-2 regional lymph nodes
Esophagus and stomach, McKeown operation:
 No tumor involvement</t>
    <phoneticPr fontId="2" type="noConversion"/>
  </si>
  <si>
    <t>1.2 x 1.0 x 0.1 cm</t>
    <phoneticPr fontId="2" type="noConversion"/>
  </si>
  <si>
    <t>ypT1bN1M1</t>
    <phoneticPr fontId="2" type="noConversion"/>
  </si>
  <si>
    <t>Robot-assisted McKeown operation + bilateral neck dissection</t>
    <phoneticPr fontId="2" type="noConversion"/>
  </si>
  <si>
    <t>eso mass, gross LNs (Lt neck, 2R)</t>
    <phoneticPr fontId="2" type="noConversion"/>
  </si>
  <si>
    <t>med/neck</t>
    <phoneticPr fontId="2" type="noConversion"/>
  </si>
  <si>
    <t>Lt. neck level II, VI, Rt. upper paratracheal areas</t>
  </si>
  <si>
    <t>27, 30-34</t>
    <phoneticPr fontId="2" type="noConversion"/>
  </si>
  <si>
    <r>
      <t>Concomitant</t>
    </r>
    <r>
      <rPr>
        <sz val="10"/>
        <color theme="1"/>
        <rFont val="돋움"/>
        <family val="3"/>
        <charset val="129"/>
      </rPr>
      <t>하게</t>
    </r>
    <r>
      <rPr>
        <sz val="10"/>
        <color theme="1"/>
        <rFont val="Arial"/>
        <family val="2"/>
      </rPr>
      <t xml:space="preserve"> thymoma </t>
    </r>
    <r>
      <rPr>
        <sz val="10"/>
        <color theme="1"/>
        <rFont val="돋움"/>
        <family val="3"/>
        <charset val="129"/>
      </rPr>
      <t>있었으나</t>
    </r>
    <r>
      <rPr>
        <sz val="10"/>
        <color theme="1"/>
        <rFont val="Arial"/>
        <family val="2"/>
      </rPr>
      <t xml:space="preserve"> benign</t>
    </r>
    <r>
      <rPr>
        <sz val="10"/>
        <color theme="1"/>
        <rFont val="돋움"/>
        <family val="3"/>
        <charset val="129"/>
      </rPr>
      <t>으로</t>
    </r>
    <r>
      <rPr>
        <sz val="10"/>
        <color theme="1"/>
        <rFont val="Arial"/>
        <family val="2"/>
      </rPr>
      <t xml:space="preserve"> </t>
    </r>
    <r>
      <rPr>
        <sz val="10"/>
        <color theme="1"/>
        <rFont val="돋움"/>
        <family val="3"/>
        <charset val="129"/>
      </rPr>
      <t>본다</t>
    </r>
    <phoneticPr fontId="2" type="noConversion"/>
  </si>
  <si>
    <t>송영돈</t>
  </si>
  <si>
    <t>SNUH_199</t>
  </si>
  <si>
    <t>Esophagus and stomach, esophagectomy:
No residual tumor
- Neoadjuvant treatment: chemoradiation therapy
- Tumor regression grade: 0 (complete response; no viable cancer cells)
- Surgical margin: free from carcinoma
- Number of metastatic lymph nodes: 0
- Number of examined lymph nodes: 52
  (Lt. level 4, 0/5; Rt. Level 4, 0/4; Lt. level 6, 0/1 (Fro#1); LN#2L, 0/6; LN#4L, 0/4; LN#5, 0/5; LN#7, 0/7; LN#8U, 0/1; LN#8L, 0/2; LN#8M, 0/3; LN#15, 0/1; LN#16, 0/3; LN#17, 0/6; LN#18, 0/1; LN#20, 0/2; LN#106R, 0/1)
- Lymphatic invasion: not identified 
- Venous invasion: not identified 
- Perineural invasion: not identified 
Pathologic staging (AJCC 8th)
- pT category: ypT0, no evidence of primary tumor
- pN category: ypN0, no metastasis in regional lymph nodes
Note) Histopathologic mapping procedure was performed</t>
    <phoneticPr fontId="2" type="noConversion"/>
  </si>
  <si>
    <t>Robot-assisted McKeown operation (Thoracic esophagectomy, gastric conduit preperation, cervical esophagogastrostomy), 3-field LN dissection, feeding jejunostomy, pyloromyotomy</t>
  </si>
  <si>
    <t>eso mass, gross LNs (perigastric, 1L)</t>
    <phoneticPr fontId="2" type="noConversion"/>
  </si>
  <si>
    <t>paraesophageal, Lt. high mediastinal, Lt. gastric LNs</t>
    <phoneticPr fontId="2" type="noConversion"/>
  </si>
  <si>
    <t>cT2N2M0</t>
    <phoneticPr fontId="2" type="noConversion"/>
  </si>
  <si>
    <t>35-39</t>
    <phoneticPr fontId="2" type="noConversion"/>
  </si>
  <si>
    <t>김학준</t>
  </si>
  <si>
    <t>SNUH_197</t>
  </si>
  <si>
    <t>Esophagus and stomach, McKeown operation:
No residual tumor in esophageal wall
Metastatic squamous cell carcinoma, poorly differentiated in lymph nodes only
- Neoadjuvant treatment: chemoradiation therapy
- Tumor regression grade: 0 (complete response; no viable cancer cells) in primary site
- Surgical margin: free from carcinoma
- Number of metastatic lymph nodes: 1
- Number of examined lymph nodes: 85
  (LN#2L, 0/3; LN#4L, 1/4; LN#5, 0/3; LN#7, 0/4; LN#8M, 0/2; LN#8L, 0/1; LN#8u, 0/3; LN#10L, 0/6; LN#15, 0/1; LN#16, 0/6; LN#17, 0/13; LN#18, 0/3; LN#19, 0/2; RT. LV4, 0/9; LT. LV4, 0/18; LT. LV5, 0/7)
- Lymphatic invasion: not identified 
- Venous invasion: not identified 
- Perineural invasion: not identified 
- Tumor border: not applicable
- Stromal reaction: none
- Intramural metastasis: not identified
- Precancerous lesion: not identified
- Other findings: Ulceration
Pathologic staging (AJCC 8th)
- pT category: ypT0, no evidence of primary tumor
- pN category: ypN1, metastasis in 1-2 regional lymph nodes
Tissue labelled "bronchial artery", excision: No tumor involvement</t>
    <phoneticPr fontId="2" type="noConversion"/>
  </si>
  <si>
    <t>grade: 0 (complete response; no viable cancer cells) in primary site</t>
  </si>
  <si>
    <t>Robot-assisted esophagectomy, cervical esophagogastrostomy, three field LN dissection; pre-emptive multi-level intercostal nerve block</t>
  </si>
  <si>
    <t>eso mass, paraesophageal LN</t>
    <phoneticPr fontId="2" type="noConversion"/>
  </si>
  <si>
    <t>paraesophageal LAP</t>
  </si>
  <si>
    <t>정진술</t>
  </si>
  <si>
    <t>SNUH_196</t>
  </si>
  <si>
    <t>Esopahgus and stomach, eosphagectomy:
SQUAMOUS CELL CARCINOMA, moderately differentiated, residual
- Neoadjuvant treatment: chemoradiation therapy. 
- Tumor regression grade: 1 (near-complete response; single cells or rare small groups of cancer cells)
- Location of tumor: upper thoracic
- Size of tumor: 1.1 x 0.4 x 0.2 cm
- Gross type: diffuse infiltrative
- Depth of invasion: invades submucosa; depth of submucosal invasion, 1.2 mm
- Surgical margin: free from carcinoma
- Safety margin: proximal margin, 0.6 cm; distal margin, 21 cm
- Number of metastatic lymph nodes: 1
- Number of examined lymph nodes: 49
  (periesophageal, 0/1; LN#2L, 0/2; LN#4L, 1/1; LN#5, 0/1; LN#7, 0/4; LN#8L, 0/3; LN#8U, 0/0; LN#16, 0/4; LN#17, 0/8; LN#18, 0/2; LN#19, 0/1; LN#20, 0/3; LN#106R, 0/2; LN# RT. Lv3, 0/2; LN# RT. Lv4, 0/6; LN# LT. lv4, 0/9)
- Lymphatic invasion: not identified 
- Venous invasion: not identified 
- Perineural invasion: not identified 
- Tumor border: infiltrative
- Stromal reaction: none
- Intramural metastasis: not identified
- Precancerous lesion: not identified
Pathologic staging (AJCC 8th)
- pT category: ypT1b, invades submucosa
- pN category: ypN1, metastasis in 1-2 regional lymph nodes
Tissue labeled "azygus vein", "bronchial artery", excision:
No tumor involvement
Note1) Pancreas tissue is noted in "LN #18".
Note2) Chronic granulomatous inflammation is noted in "LN Rt. Lv3".</t>
    <phoneticPr fontId="2" type="noConversion"/>
  </si>
  <si>
    <t>1.1 x 0.4 x 0.2 cm</t>
  </si>
  <si>
    <t>IIB</t>
    <phoneticPr fontId="2" type="noConversion"/>
  </si>
  <si>
    <t>ypT1bN1</t>
    <phoneticPr fontId="2" type="noConversion"/>
  </si>
  <si>
    <t>Robotic esophagectomy with 3 filed LN dissection and cervical anastomosis</t>
  </si>
  <si>
    <t>1L and 2B mediastinal stations</t>
    <phoneticPr fontId="2" type="noConversion"/>
  </si>
  <si>
    <t>cTxN2M0</t>
    <phoneticPr fontId="2" type="noConversion"/>
  </si>
  <si>
    <t>남기순</t>
  </si>
  <si>
    <t>SNUH_193</t>
  </si>
  <si>
    <t>lung, PAN, retroperitoneal LN</t>
    <phoneticPr fontId="2" type="noConversion"/>
  </si>
  <si>
    <t>Retroperitoneal &amp; thoracic paraaortic LNE, lung</t>
    <phoneticPr fontId="2" type="noConversion"/>
  </si>
  <si>
    <t>Esophagus, esophagectomy;
SQUAMOUS CELL CARCINOMA, moderately differentiated (G2), residual
- Neoadjuvant treatment: chemoradiation therapy
- Tumor regression grade: 2 (partial response; residual cancer with evident tumor regression but more than single cells or rare small groups of cancer cells)
- Location of tumor: lower thoracic
- Size of tumor: 4.3 x 1.2 x 1.2 cm
- Gross type: ulcerative and localized
- Depth of invasion: invades adventitia
- Surgical margin: free from carcinoma
- Safety margin: proximal margin, 2.2 cm; distal margin, 19.3 cm; radial margin, 0.6 mm
- Number of metastatic lymph nodes: 0
- Number of examined lymph nodes: 38
  (LN#2L, 0/2; LN#4L, 0/1; LN#5, 0/5; LN#7, 0/4; LN#8L, 0/4; LN#8U, 0/3; LN#16, 0/1; LN#17, 0/10; LN#18, 0/1; LN#19, 0/4; LN#20, 0/2; LN#106R, 0/1)
- Lymphatic invasion: not identified 
- Venous invasion: not identified 
- Perineural invasion: not identified 
- Tumor border: infiltrative
- Stromal reaction: none
- Intramural metastasis: not identified
- Precancerous lesion: not identified
Pathologic staging (AJCC 8th)
- pT category: ypT3, invades adventitia
- pN category: ypN0, no metastasis in regional lymph nodes</t>
    <phoneticPr fontId="2" type="noConversion"/>
  </si>
  <si>
    <t>ulcerative and localized</t>
  </si>
  <si>
    <t>4.3 x 1.2 x 1.2 cm</t>
  </si>
  <si>
    <t>ypT3N0</t>
    <phoneticPr fontId="2" type="noConversion"/>
  </si>
  <si>
    <t xml:space="preserve">Robotic Ivor Lewis T2FLND </t>
  </si>
  <si>
    <t>eso. mass, abd. LNs</t>
    <phoneticPr fontId="2" type="noConversion"/>
  </si>
  <si>
    <t>Lt gastric, celiac</t>
    <phoneticPr fontId="2" type="noConversion"/>
  </si>
  <si>
    <t>권순복</t>
  </si>
  <si>
    <t>SNUH_191</t>
    <phoneticPr fontId="2" type="noConversion"/>
  </si>
  <si>
    <t>hypopharynx</t>
    <phoneticPr fontId="2" type="noConversion"/>
  </si>
  <si>
    <t>pall FP #4 ('19.9.29~ 19.12.7 )</t>
    <phoneticPr fontId="2" type="noConversion"/>
  </si>
  <si>
    <t>local &amp; distal?</t>
    <phoneticPr fontId="2" type="noConversion"/>
  </si>
  <si>
    <t>upper esophagus ~ hypopharyngeal recurrence (vs de novo)</t>
    <phoneticPr fontId="2" type="noConversion"/>
  </si>
  <si>
    <r>
      <t>Esophagus and stomach, Mckeown operation:
Squamous cell carcinoma in situ, residual
- Neoadjuvant treatment: chemoradiation therapy. 
- Tumor regression grade: grade 2 (minimal regression)
- Location of tumor: middle thoracic
- Size of tumor: 3.3 x 2.4 x 0.1 cm
- Gross type: ulceroinfiltrative
- Depth of invasion: intraepithelium
- Surgical margin: free from carcinoma (Fro#1-4)
- Safety margin: proximal margin, 11.3 cm; distal margin, 16.4 cm; radial margin, 3 mm
- Number of metastatic lymph nodes: 0
- Number of examined lymph nodes: 59
  (greater curvature LN, 0/3; peritumoral LN, 0/1; LN#5,0/6; LN#7,0/6; LN#8,0/2; LN#2L,0/5; LN#4L,0/2; LN#8L,0/2; LN#8M,0/1; LN#106R,0/2; LN#RT.LV3,0/1; LN#RT.LV4,0/13; LN#LT.LV6,0/1; LN#LT.LV3,0/5; LN#LT.LV4,0/9; LN#16,0/0)
- Lymphatic invasion: not identified 
- Venous invasion: not identified 
- Perineural invasion: not identified 
- Tumor border: infiltrative
- Stromal reaction: lymphoplasmacytic (see note2)
- Intramural metastasis: not identified
- Precancerous lesion: low grade dysplasia
Pathologic staging (AJCC 7th)
- pT category: ypTis
- pN category: ypN0
Note1) Histopathologic mapping procedure was performed
Note2) plasma cell</t>
    </r>
    <r>
      <rPr>
        <sz val="10"/>
        <color theme="1"/>
        <rFont val="돋움"/>
        <family val="3"/>
        <charset val="129"/>
      </rPr>
      <t>이</t>
    </r>
    <r>
      <rPr>
        <sz val="10"/>
        <color theme="1"/>
        <rFont val="Arial"/>
        <family val="2"/>
      </rPr>
      <t xml:space="preserve"> </t>
    </r>
    <r>
      <rPr>
        <sz val="10"/>
        <color theme="1"/>
        <rFont val="돋움"/>
        <family val="3"/>
        <charset val="129"/>
      </rPr>
      <t>매우</t>
    </r>
    <r>
      <rPr>
        <sz val="10"/>
        <color theme="1"/>
        <rFont val="Arial"/>
        <family val="2"/>
      </rPr>
      <t xml:space="preserve"> </t>
    </r>
    <r>
      <rPr>
        <sz val="10"/>
        <color theme="1"/>
        <rFont val="돋움"/>
        <family val="3"/>
        <charset val="129"/>
      </rPr>
      <t>많이</t>
    </r>
    <r>
      <rPr>
        <sz val="10"/>
        <color theme="1"/>
        <rFont val="Arial"/>
        <family val="2"/>
      </rPr>
      <t xml:space="preserve"> </t>
    </r>
    <r>
      <rPr>
        <sz val="10"/>
        <color theme="1"/>
        <rFont val="돋움"/>
        <family val="3"/>
        <charset val="129"/>
      </rPr>
      <t>관찰되며</t>
    </r>
    <r>
      <rPr>
        <sz val="10"/>
        <color theme="1"/>
        <rFont val="Arial"/>
        <family val="2"/>
      </rPr>
      <t xml:space="preserve"> IgG4</t>
    </r>
    <r>
      <rPr>
        <sz val="10"/>
        <color theme="1"/>
        <rFont val="돋움"/>
        <family val="3"/>
        <charset val="129"/>
      </rPr>
      <t>가</t>
    </r>
    <r>
      <rPr>
        <sz val="10"/>
        <color theme="1"/>
        <rFont val="Arial"/>
        <family val="2"/>
      </rPr>
      <t xml:space="preserve"> </t>
    </r>
    <r>
      <rPr>
        <sz val="10"/>
        <color theme="1"/>
        <rFont val="돋움"/>
        <family val="3"/>
        <charset val="129"/>
      </rPr>
      <t>증가되어</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하지만</t>
    </r>
    <r>
      <rPr>
        <sz val="10"/>
        <color theme="1"/>
        <rFont val="Arial"/>
        <family val="2"/>
      </rPr>
      <t xml:space="preserve"> CCRT</t>
    </r>
    <r>
      <rPr>
        <sz val="10"/>
        <color theme="1"/>
        <rFont val="돋움"/>
        <family val="3"/>
        <charset val="129"/>
      </rPr>
      <t>를</t>
    </r>
    <r>
      <rPr>
        <sz val="10"/>
        <color theme="1"/>
        <rFont val="Arial"/>
        <family val="2"/>
      </rPr>
      <t xml:space="preserve"> </t>
    </r>
    <r>
      <rPr>
        <sz val="10"/>
        <color theme="1"/>
        <rFont val="돋움"/>
        <family val="3"/>
        <charset val="129"/>
      </rPr>
      <t>받은</t>
    </r>
    <r>
      <rPr>
        <sz val="10"/>
        <color theme="1"/>
        <rFont val="Arial"/>
        <family val="2"/>
      </rPr>
      <t xml:space="preserve"> </t>
    </r>
    <r>
      <rPr>
        <sz val="10"/>
        <color theme="1"/>
        <rFont val="돋움"/>
        <family val="3"/>
        <charset val="129"/>
      </rPr>
      <t>환자로</t>
    </r>
    <r>
      <rPr>
        <sz val="10"/>
        <color theme="1"/>
        <rFont val="Arial"/>
        <family val="2"/>
      </rPr>
      <t xml:space="preserve"> </t>
    </r>
    <r>
      <rPr>
        <sz val="10"/>
        <color theme="1"/>
        <rFont val="돋움"/>
        <family val="3"/>
        <charset val="129"/>
      </rPr>
      <t>그에</t>
    </r>
    <r>
      <rPr>
        <sz val="10"/>
        <color theme="1"/>
        <rFont val="Arial"/>
        <family val="2"/>
      </rPr>
      <t xml:space="preserve"> </t>
    </r>
    <r>
      <rPr>
        <sz val="10"/>
        <color theme="1"/>
        <rFont val="돋움"/>
        <family val="3"/>
        <charset val="129"/>
      </rPr>
      <t>따른</t>
    </r>
    <r>
      <rPr>
        <sz val="10"/>
        <color theme="1"/>
        <rFont val="Arial"/>
        <family val="2"/>
      </rPr>
      <t xml:space="preserve"> </t>
    </r>
    <r>
      <rPr>
        <sz val="10"/>
        <color theme="1"/>
        <rFont val="돋움"/>
        <family val="3"/>
        <charset val="129"/>
      </rPr>
      <t>이차적</t>
    </r>
    <r>
      <rPr>
        <sz val="10"/>
        <color theme="1"/>
        <rFont val="Arial"/>
        <family val="2"/>
      </rPr>
      <t xml:space="preserve"> </t>
    </r>
    <r>
      <rPr>
        <sz val="10"/>
        <color theme="1"/>
        <rFont val="돋움"/>
        <family val="3"/>
        <charset val="129"/>
      </rPr>
      <t>변화인</t>
    </r>
    <r>
      <rPr>
        <sz val="10"/>
        <color theme="1"/>
        <rFont val="Arial"/>
        <family val="2"/>
      </rPr>
      <t xml:space="preserve"> paraneoplastic disease </t>
    </r>
    <r>
      <rPr>
        <sz val="10"/>
        <color theme="1"/>
        <rFont val="돋움"/>
        <family val="3"/>
        <charset val="129"/>
      </rPr>
      <t>혹은</t>
    </r>
    <r>
      <rPr>
        <sz val="10"/>
        <color theme="1"/>
        <rFont val="Arial"/>
        <family val="2"/>
      </rPr>
      <t xml:space="preserve"> underlying IgG4 related disease</t>
    </r>
    <r>
      <rPr>
        <sz val="10"/>
        <color theme="1"/>
        <rFont val="돋움"/>
        <family val="3"/>
        <charset val="129"/>
      </rPr>
      <t>의</t>
    </r>
    <r>
      <rPr>
        <sz val="10"/>
        <color theme="1"/>
        <rFont val="Arial"/>
        <family val="2"/>
      </rPr>
      <t xml:space="preserve"> </t>
    </r>
    <r>
      <rPr>
        <sz val="10"/>
        <color theme="1"/>
        <rFont val="돋움"/>
        <family val="3"/>
        <charset val="129"/>
      </rPr>
      <t>가능성이</t>
    </r>
    <r>
      <rPr>
        <sz val="10"/>
        <color theme="1"/>
        <rFont val="Arial"/>
        <family val="2"/>
      </rPr>
      <t xml:space="preserve"> </t>
    </r>
    <r>
      <rPr>
        <sz val="10"/>
        <color theme="1"/>
        <rFont val="돋움"/>
        <family val="3"/>
        <charset val="129"/>
      </rPr>
      <t>있습니다</t>
    </r>
    <r>
      <rPr>
        <sz val="10"/>
        <color theme="1"/>
        <rFont val="Arial"/>
        <family val="2"/>
      </rPr>
      <t>. serum IgG4 level</t>
    </r>
    <r>
      <rPr>
        <sz val="10"/>
        <color theme="1"/>
        <rFont val="돋움"/>
        <family val="3"/>
        <charset val="129"/>
      </rPr>
      <t>을</t>
    </r>
    <r>
      <rPr>
        <sz val="10"/>
        <color theme="1"/>
        <rFont val="Arial"/>
        <family val="2"/>
      </rPr>
      <t xml:space="preserve"> check</t>
    </r>
    <r>
      <rPr>
        <sz val="10"/>
        <color theme="1"/>
        <rFont val="돋움"/>
        <family val="3"/>
        <charset val="129"/>
      </rPr>
      <t>해보시기를</t>
    </r>
    <r>
      <rPr>
        <sz val="10"/>
        <color theme="1"/>
        <rFont val="Arial"/>
        <family val="2"/>
      </rPr>
      <t xml:space="preserve"> </t>
    </r>
    <r>
      <rPr>
        <sz val="10"/>
        <color theme="1"/>
        <rFont val="돋움"/>
        <family val="3"/>
        <charset val="129"/>
      </rPr>
      <t>권유드립니다</t>
    </r>
    <r>
      <rPr>
        <sz val="10"/>
        <color theme="1"/>
        <rFont val="Arial"/>
        <family val="2"/>
      </rPr>
      <t xml:space="preserve">.
Note3) consultant pathologist pf. </t>
    </r>
    <r>
      <rPr>
        <sz val="10"/>
        <color theme="1"/>
        <rFont val="돋움"/>
        <family val="3"/>
        <charset val="129"/>
      </rPr>
      <t>전윤경</t>
    </r>
    <phoneticPr fontId="2" type="noConversion"/>
  </si>
  <si>
    <t>Squamous cell carcinoma in situ, residual</t>
  </si>
  <si>
    <t>3.3 x 2.4 x 0.1 cm</t>
  </si>
  <si>
    <t>ypTisN0</t>
    <phoneticPr fontId="2" type="noConversion"/>
  </si>
  <si>
    <t>Robot-assisted McKeown operation</t>
  </si>
  <si>
    <r>
      <t>Both SCL</t>
    </r>
    <r>
      <rPr>
        <sz val="10"/>
        <color theme="1"/>
        <rFont val="돋움"/>
        <family val="3"/>
        <charset val="129"/>
      </rPr>
      <t>포함</t>
    </r>
  </si>
  <si>
    <r>
      <t>(</t>
    </r>
    <r>
      <rPr>
        <sz val="10"/>
        <color theme="1"/>
        <rFont val="돋움"/>
        <family val="3"/>
        <charset val="129"/>
      </rPr>
      <t>자세한</t>
    </r>
    <r>
      <rPr>
        <sz val="10"/>
        <color theme="1"/>
        <rFont val="Arial"/>
        <family val="2"/>
      </rPr>
      <t xml:space="preserve"> </t>
    </r>
    <r>
      <rPr>
        <sz val="10"/>
        <color theme="1"/>
        <rFont val="돋움"/>
        <family val="3"/>
        <charset val="129"/>
      </rPr>
      <t>기술이</t>
    </r>
    <r>
      <rPr>
        <sz val="10"/>
        <color theme="1"/>
        <rFont val="Arial"/>
        <family val="2"/>
      </rPr>
      <t xml:space="preserve"> </t>
    </r>
    <r>
      <rPr>
        <sz val="10"/>
        <color theme="1"/>
        <rFont val="돋움"/>
        <family val="3"/>
        <charset val="129"/>
      </rPr>
      <t>빠져있음</t>
    </r>
    <r>
      <rPr>
        <sz val="10"/>
        <color theme="1"/>
        <rFont val="Arial"/>
        <family val="2"/>
      </rPr>
      <t>)</t>
    </r>
    <phoneticPr fontId="2" type="noConversion"/>
  </si>
  <si>
    <t xml:space="preserve">Lt. upper/lower paratracheal, Lt. SCN </t>
    <phoneticPr fontId="2" type="noConversion"/>
  </si>
  <si>
    <t>송재석</t>
    <phoneticPr fontId="2" type="noConversion"/>
  </si>
  <si>
    <t>SNUH_190</t>
  </si>
  <si>
    <r>
      <t xml:space="preserve">Follow-up EGD </t>
    </r>
    <r>
      <rPr>
        <sz val="10"/>
        <color theme="1"/>
        <rFont val="돋움"/>
        <family val="3"/>
        <charset val="129"/>
      </rPr>
      <t>상</t>
    </r>
    <r>
      <rPr>
        <sz val="10"/>
        <color theme="1"/>
        <rFont val="Arial"/>
        <family val="2"/>
      </rPr>
      <t xml:space="preserve"> anastomosis ring</t>
    </r>
    <r>
      <rPr>
        <sz val="10"/>
        <color theme="1"/>
        <rFont val="돋움"/>
        <family val="3"/>
        <charset val="129"/>
      </rPr>
      <t>은</t>
    </r>
    <r>
      <rPr>
        <sz val="10"/>
        <color theme="1"/>
        <rFont val="Arial"/>
        <family val="2"/>
      </rPr>
      <t xml:space="preserve"> </t>
    </r>
    <r>
      <rPr>
        <sz val="10"/>
        <color theme="1"/>
        <rFont val="돋움"/>
        <family val="3"/>
        <charset val="129"/>
      </rPr>
      <t>있단다</t>
    </r>
    <r>
      <rPr>
        <sz val="10"/>
        <color theme="1"/>
        <rFont val="Arial"/>
        <family val="2"/>
      </rPr>
      <t xml:space="preserve">. Bx </t>
    </r>
    <r>
      <rPr>
        <sz val="10"/>
        <color theme="1"/>
        <rFont val="돋움"/>
        <family val="3"/>
        <charset val="129"/>
      </rPr>
      <t>상</t>
    </r>
    <r>
      <rPr>
        <sz val="10"/>
        <color theme="1"/>
        <rFont val="Arial"/>
        <family val="2"/>
      </rPr>
      <t xml:space="preserve"> </t>
    </r>
    <r>
      <rPr>
        <sz val="10"/>
        <color theme="1"/>
        <rFont val="돋움"/>
        <family val="3"/>
        <charset val="129"/>
      </rPr>
      <t>별</t>
    </r>
    <r>
      <rPr>
        <sz val="10"/>
        <color theme="1"/>
        <rFont val="Arial"/>
        <family val="2"/>
      </rPr>
      <t xml:space="preserve"> </t>
    </r>
    <r>
      <rPr>
        <sz val="10"/>
        <color theme="1"/>
        <rFont val="돋움"/>
        <family val="3"/>
        <charset val="129"/>
      </rPr>
      <t>다른</t>
    </r>
    <r>
      <rPr>
        <sz val="10"/>
        <color theme="1"/>
        <rFont val="Arial"/>
        <family val="2"/>
      </rPr>
      <t xml:space="preserve"> </t>
    </r>
    <r>
      <rPr>
        <sz val="10"/>
        <color theme="1"/>
        <rFont val="돋움"/>
        <family val="3"/>
        <charset val="129"/>
      </rPr>
      <t>이상은</t>
    </r>
    <r>
      <rPr>
        <sz val="10"/>
        <color theme="1"/>
        <rFont val="Arial"/>
        <family val="2"/>
      </rPr>
      <t xml:space="preserve"> </t>
    </r>
    <r>
      <rPr>
        <sz val="10"/>
        <color theme="1"/>
        <rFont val="돋움"/>
        <family val="3"/>
        <charset val="129"/>
      </rPr>
      <t>확인하지</t>
    </r>
    <r>
      <rPr>
        <sz val="10"/>
        <color theme="1"/>
        <rFont val="Arial"/>
        <family val="2"/>
      </rPr>
      <t xml:space="preserve"> </t>
    </r>
    <r>
      <rPr>
        <sz val="10"/>
        <color theme="1"/>
        <rFont val="돋움"/>
        <family val="3"/>
        <charset val="129"/>
      </rPr>
      <t>못함</t>
    </r>
    <r>
      <rPr>
        <sz val="10"/>
        <color theme="1"/>
        <rFont val="Arial"/>
        <family val="2"/>
      </rPr>
      <t>.</t>
    </r>
    <phoneticPr fontId="2" type="noConversion"/>
  </si>
  <si>
    <t>Esophagus, Ivor-Lewis operation;
SQUAMOUS CELL CARCINOMA, poorly differentiated (G3)
- Neoadjuvant treatment: chemoradiation therapy. 
- Tumor regression grade: grade 1 (moderate regression)
- Gross type: superficial
- Location of tumor: lower thoracic
- Size of tumor: 4.3 x 1.4 x 0.3 cm. 
- Depth of invasion: invades adventitia
- ypT stage (AJCC 7th): ypT3
- Surgical margin: free from carcinoma
- Safety margin: proximal margin, 3.2 cm; distal margin, 7.3 cm; radial margin: 1.0 mm; 
- Number of metastatic lymph nodes: 0
- Number of examined lymph nodes: 51
  (Rt. Level IV LN, 0/6; Lt. Level IV LN, 0/9; LN#3P, 0/1; LN#4L, 0/2; LN#5, 0/4; LN#7, 0/5; LN#8L, 0/1; LN#16, 0/6; LN#17, 0/7; LN#18, 0/7; Rt. Recurrent laryngeal LN, 0/3; )
- ypN stage (AJCC 7th): ypN0, no metastasis in regional lymph nodes
- Lymphatic invasion: not identified 
- Venous invasion: not identified 
- Perineural invasion: not identified 
- Tumor border: infiltrative
- Stromal reaction: desmoplasia
- Intramural metastasis: not identified
- Precancerous lesion: not identified</t>
    <phoneticPr fontId="2" type="noConversion"/>
  </si>
  <si>
    <t>sqcc pd</t>
    <phoneticPr fontId="2" type="noConversion"/>
  </si>
  <si>
    <t>4.3 x 1.4 x 0.3 cm</t>
  </si>
  <si>
    <t>grade 1 (moderate regression)</t>
  </si>
  <si>
    <t>Ivor-Lewis operation</t>
    <phoneticPr fontId="2" type="noConversion"/>
  </si>
  <si>
    <t>eso. mass / gross LNs (2R, 4L, subcarinal)</t>
    <phoneticPr fontId="2" type="noConversion"/>
  </si>
  <si>
    <t>Paraesophageal LN, subcarinal LN, left lower paratracheal, both upper paratracheal LN</t>
    <phoneticPr fontId="2" type="noConversion"/>
  </si>
  <si>
    <t>30-40</t>
    <phoneticPr fontId="2" type="noConversion"/>
  </si>
  <si>
    <t>이윤우</t>
    <phoneticPr fontId="2" type="noConversion"/>
  </si>
  <si>
    <t>SNUH_186</t>
  </si>
  <si>
    <t>progression of metastasis</t>
    <phoneticPr fontId="2" type="noConversion"/>
  </si>
  <si>
    <t>Lt adrenal -&gt; abdominal LN, liver</t>
    <phoneticPr fontId="2" type="noConversion"/>
  </si>
  <si>
    <t>Esophagus, Ivor-Lewis operation:
 SQUAMOUS CELL CARCINOMA, moderately differentiated
  - Neoadjuvant treatment: yes (chemoradiation therapy) status
     (S13-1650: Equamous cell carcinoma, poorly differentiated)
  - Tumor regression grade: grade 1 (moderate response)
  - Gross type: ulcerative and localized
  - Location of tumor: lower thoracic (4.7cm from GE junction)
  - Size of tumor: 0.8 x 0.3 x 0.02cm
  - Depth of invasion (AJCC 7th ed.):
     invades (lamina propria) (ypT1a) 
  - Surgical margin: free from carcinoma
     (safety margin: proximal, 0.8cm; distal, 9.7cm; radial, 9mm)
  - Lymph node: metastasis in three out of 35 lymph nodes (ypN2)
     (Rt.recurrent laryngeal LN, 1/2; LN#2L, 0/2; LN#2L/4L, 1/1;
      LN#5, 0/1; LN#7, 0/7; LN#8M, 0/1; LN#8L, 1/5; LN#10L, 0/2;
      LN#10R, 0/1; LN#16, 0/4; LN#17, 0/5; LN#18, 0/4; LN#19, 0/0)
  - Lymphatic invasion: not identified
  - Venous invasion: not identified
  - Perineural invasion: not identified
  - Tumor border: infiltrative
  - Stromal reaction: desmoplasia
  - Intramural metastasis: absent
  - Precancerous lesion: not identified
Esophagus, "anvil RM (eso)", resection:
 No tumor involvement
Stomach, "anvil RM (stomach)", resection:
 No tumor involvement</t>
    <phoneticPr fontId="2" type="noConversion"/>
  </si>
  <si>
    <t>sqcc md</t>
    <phoneticPr fontId="2" type="noConversion"/>
  </si>
  <si>
    <t>0.8 x 0.3 x 0.02cm</t>
  </si>
  <si>
    <t>ypT1aN2</t>
    <phoneticPr fontId="2" type="noConversion"/>
  </si>
  <si>
    <t>Ivor Lewis operation</t>
    <phoneticPr fontId="2" type="noConversion"/>
  </si>
  <si>
    <t xml:space="preserve">Esophageal mass / mediastinal LN, celiac LN </t>
    <phoneticPr fontId="2" type="noConversion"/>
  </si>
  <si>
    <t>left highest mediastinum, celiac axis</t>
    <phoneticPr fontId="2" type="noConversion"/>
  </si>
  <si>
    <t>김기덕</t>
    <phoneticPr fontId="2" type="noConversion"/>
  </si>
  <si>
    <t>SNUH_183</t>
  </si>
  <si>
    <r>
      <t xml:space="preserve">2019/5/3 repair of diaphragmatic hernia // EGD </t>
    </r>
    <r>
      <rPr>
        <sz val="10"/>
        <color theme="1"/>
        <rFont val="돋움"/>
        <family val="3"/>
        <charset val="129"/>
      </rPr>
      <t>상</t>
    </r>
    <r>
      <rPr>
        <sz val="10"/>
        <color theme="1"/>
        <rFont val="Arial"/>
        <family val="2"/>
      </rPr>
      <t xml:space="preserve"> stomach: Antral deformity</t>
    </r>
    <phoneticPr fontId="2" type="noConversion"/>
  </si>
  <si>
    <t>NED after 2nd op</t>
    <phoneticPr fontId="2" type="noConversion"/>
  </si>
  <si>
    <t>Esophagus and stomach, McKeown operation:
SQUAMOUS CELL CARCINOMA in regional lymph node
- Neoadjuvant treatment: chemoradiation therapy. 
- Tumor regression grade: grade 0 (complete regression)
- Depth of invasion: no residual tumor
- Surgical margin: free from carcinoma
- Number of metastatic lymph nodes: 1
- Number of examined lymph nodes: 66
  (periesophageal LN, 0/2; LN#2L, 0/1 (see note 2); LN#4L,0/2; LN#5,0/4; LN#7,0/3; LN#8L,0/4; LN#8M,0/4; LN#9L,0/1; LN#16,0/1; LN#17,0/14; LN#18,0/1; LN#19,0/6; LN#106R,0/5; LN#Rt.level3, 0/8; LN#Rt.level4, 0/5; LN#Lt.level3, 0/2; LN#Lt.level4, 1/3)
- Lymphatic invasion: not identified 
- Venous invasion: not identified 
- Perineural invasion: not identified 
- Tumor border: not applicable 
- Stromal reaction: not applicable 
- Intramural metastasis: not identified
- Precancerous lesion: not identified
Pathologic staging (AJCC 7th)
- pT category: ypT0, no evidence of primary tumor
- pN category: ypN1, metastasis in 1-2 regional lymph nodes
Note 1) Histopathologic mapping procedure was performed
Note 2) Parathyroid tissue is included in "LN#2L"</t>
    <phoneticPr fontId="2" type="noConversion"/>
  </si>
  <si>
    <t>grade 0 (complete regression)</t>
  </si>
  <si>
    <t>Robot-assisted McKeown operation + 3-field LN dissection</t>
    <phoneticPr fontId="2" type="noConversion"/>
  </si>
  <si>
    <t>med, abd elective</t>
    <phoneticPr fontId="2" type="noConversion"/>
  </si>
  <si>
    <t>esophgeal mass / paraesophageal, perigastric LN</t>
    <phoneticPr fontId="2" type="noConversion"/>
  </si>
  <si>
    <t>paraesophageal and perigastric area</t>
    <phoneticPr fontId="2" type="noConversion"/>
  </si>
  <si>
    <t>김재철</t>
    <phoneticPr fontId="2" type="noConversion"/>
  </si>
  <si>
    <t>SNUH_176</t>
  </si>
  <si>
    <t>Esophagus and stomach, McKeown operation:
No residual tumor
- Neoadjuvant treatment: chemoradiation therapy
- Tumor regression grade: grade 0 (complete regression)
- Squamous dysplasia: present, high grade, focal
- Surgical margin: free from carcinoma
- Number of metastatic lymph nodes: 0
- Number of examined lymph nodes: 27
  (LN#2L, 0/0; LN#3P, 0/1; LN#4L, 0/0; LN#5, 0/4; LN#7, 0/7; LN#8L, 0/1; LN#8M, 0/1; LN#16, 0/2; LN#106R, 0/3; LN#17, 0/3; LN#18, 0/2; LN#19, 0/3)
- Lymphatic invasion: not identified 
- Venous invasion: not identified 
- Perineural invasion: not identified 
- Tumor border: not applicable
- Stromal reaction: not applicable
- Intramural metastasis: not identified
Pathologic staging (AJCC 7th)
- pT category: ypT0, no evidence of primary tumor
- pN category: ypN0, no metastasis in regional lymph nodes
Lung, right lower lobe, wedge resection: 
 Non-neoplastic lung parenchyme with no diagnostic abnormalities 
Note) Histopathologic mapping procedure was performed.</t>
    <phoneticPr fontId="2" type="noConversion"/>
  </si>
  <si>
    <t>Robot-assisted McKeown operation + 2-field LN dissection</t>
    <phoneticPr fontId="2" type="noConversion"/>
  </si>
  <si>
    <r>
      <t>lower med, abd elective (</t>
    </r>
    <r>
      <rPr>
        <sz val="10"/>
        <color theme="1"/>
        <rFont val="돋움"/>
        <family val="3"/>
        <charset val="129"/>
      </rPr>
      <t>일부</t>
    </r>
    <r>
      <rPr>
        <sz val="10"/>
        <color theme="1"/>
        <rFont val="Arial"/>
        <family val="2"/>
      </rPr>
      <t>)</t>
    </r>
    <phoneticPr fontId="2" type="noConversion"/>
  </si>
  <si>
    <t>0.5-1</t>
    <phoneticPr fontId="2" type="noConversion"/>
  </si>
  <si>
    <t>esophgeal mass / hypermetabolic LN</t>
    <phoneticPr fontId="2" type="noConversion"/>
  </si>
  <si>
    <t>Rt paracardial area</t>
    <phoneticPr fontId="2" type="noConversion"/>
  </si>
  <si>
    <t>cT1N1M0</t>
    <phoneticPr fontId="2" type="noConversion"/>
  </si>
  <si>
    <t>황교명</t>
    <phoneticPr fontId="2" type="noConversion"/>
  </si>
  <si>
    <t>SNUH_175</t>
  </si>
  <si>
    <t>Esophagus, McKeown operation;
No residual tumor 
- Neoadjuvant treatment: chemoradiation therapy. 
- Tumor regression grade: grade 0 (complete regression)
- Surgical margin: free from carcinoma
- Number of metastatic lymph nodes: 0
- Number of examined lymph nodes: 45
  (LN 2L, 0/1; LN 4L, 0/1(see note); LN#5, 0/2; LN#7, 0/7; LN#8L, 0/0; LN#8M, 0/1; LN 10R, 0/1; LN#Lt. 3, 0/2; LN#Lt. 4, 0/5; LN#Rt. 4, 0/13; LN#16, 0/1; LN#17, 0/7; LN106R, 0/4)
- Lymphatic invasion: not identified 
- Venous invasion: not identified 
- Perineural invasion: not identified 
- Stromal reaction: none
- Precancerous lesion: not identified
Pathologic staging (AJCC 7th)
- ypT category: ypT0, no evidence of primary tumor
- ypN category: ypN0, no metastasis in regional lymph nodes
Tissue labelled "proximal RM", excision: No tumor involvement
Note) Parathyroid tissue is included in "LN 4L".</t>
    <phoneticPr fontId="2" type="noConversion"/>
  </si>
  <si>
    <t>Hybrid robot-assisted McKeown operation + 3-field LN dissection</t>
    <phoneticPr fontId="2" type="noConversion"/>
  </si>
  <si>
    <t>bilat scl / med elective</t>
    <phoneticPr fontId="2" type="noConversion"/>
  </si>
  <si>
    <t>esophageal mass / LN mets (3P, 2L, 1L)</t>
    <phoneticPr fontId="2" type="noConversion"/>
  </si>
  <si>
    <t>3P, 2L, 1L</t>
  </si>
  <si>
    <t>최봉순</t>
    <phoneticPr fontId="2" type="noConversion"/>
  </si>
  <si>
    <t>SNUH_174</t>
  </si>
  <si>
    <t>Esophagus, McKeown operation;
No residual tumor 
- Neoadjuvant treatment: chemoradiation therapy. 
- Tumor regression grade: grade 0 (complete regression)
- Surgical margin: free from carcinoma
- Safety margin: proximal margin, 2.8 cm; distal margin, 8.7 cm; 
- Number of metastatic lymph nodes: 0
- Number of examined lymph nodes: 79
  (LN#17, 0/4; LN#18, 0/2; LN#Rt. Lv3, 0/6; LN#Rt. Lv4,0/12; LN#Lt. lv3, 0/18; LN#Lt. lv4, 0/7; LN#106R, 0/7; LN#5, 0/2; LN#7, 0/5; LN#2L, 0/4; LN#3P, 0/0; LN#4L, 0/3; LN#8L, 0/1; LN#8M, 0/2; LN#19, 0/1; LN#16, 0/5; )
- Lymphatic invasion: not identified 
- Venous invasion: not identified 
- Perineural invasion: not identified 
- Tumor border: not applicable
- Stromal reaction: not applicable
- Intramural metastasis: not identified
- Precancerous lesion: not identified
Pathologic staging (AJCC 7th)
- pT category: ypT0, no evidence of primary tumor
- pN category: ypN0, no metastasis in regional lymph nodes</t>
    <phoneticPr fontId="2" type="noConversion"/>
  </si>
  <si>
    <t>esophageal mass</t>
  </si>
  <si>
    <t>박봉대</t>
    <phoneticPr fontId="2" type="noConversion"/>
  </si>
  <si>
    <t>SNUH_173</t>
  </si>
  <si>
    <t>observation</t>
    <phoneticPr fontId="2" type="noConversion"/>
  </si>
  <si>
    <t>Esophagus and stomach, McKeown operation:
SQUAMOUS CELL CARCINOMA, moderately differentiated (G2), residual
- Neoadjuvant treatment: chemoradiation therapy. 
- Tumor regression grade: grade 2 (minimal regression)
- Location of tumor: upper thoracic
- Size of tumor: 1.2 x 0.8 x 0.4 cm. 
- Gross type: ulceroinfiltrative
- Depth of invasion: invades muscularis propria
- Safety margin: proximal margin, 4.5 cm; distal margin, 10.8 cm; radial margin, 0.6 mm
- Number of metastatic lymph nodes: 0
- Number of examined lymph nodes: 48
(LN#2L, 0/4; LN#4L, 0/3; LN#5, 0/6; LN#7, 0/7; LN#14, 0/3; LN#8L, 0/0; LN#8M, 0/3; LN#16, 0/0; LN#106R, 0/3; LN#17, 0/12; LN#18, 0/3; LN#19, 0/0; LN#Rt. Level #3, 0/2; LN#Rt. Level #4, 0/0; LN#Lt. Level #2, 0/0; LN#Lt. Level #3, 0/1; LN#Lt. Level #4, 0/1)
- Lymphatic invasion: not identified 
- Venous invasion: not identified 
- Perineural invasion: not identified 
- Tumor border: infiltrative
- Stromal reaction: none
- Intramural metastasis: not identified
- Precancerous lesion: not identified
Pathologic staging (AJCC 7th)
- pT category: ypT2, invades muscularis propria
- pN category: ypN0, no metastasis in regional lymph nodes
Note) Histopathologic mapping procedure was performed.</t>
    <phoneticPr fontId="2" type="noConversion"/>
  </si>
  <si>
    <t>1.2 x 0.8 x 0.4 cm</t>
  </si>
  <si>
    <t>IIA</t>
    <phoneticPr fontId="2" type="noConversion"/>
  </si>
  <si>
    <t>ypT2N0</t>
    <phoneticPr fontId="2" type="noConversion"/>
  </si>
  <si>
    <t>Mckeown operation + 3-field LN dissection</t>
    <phoneticPr fontId="2" type="noConversion"/>
  </si>
  <si>
    <t>esophageal mass / LN</t>
    <phoneticPr fontId="2" type="noConversion"/>
  </si>
  <si>
    <t>paraesophageal LN</t>
    <phoneticPr fontId="2" type="noConversion"/>
  </si>
  <si>
    <t>25cm</t>
    <phoneticPr fontId="2" type="noConversion"/>
  </si>
  <si>
    <t>우추근</t>
    <phoneticPr fontId="2" type="noConversion"/>
  </si>
  <si>
    <t>SNUH_172</t>
  </si>
  <si>
    <r>
      <t xml:space="preserve">balloon dilatation </t>
    </r>
    <r>
      <rPr>
        <sz val="10"/>
        <color theme="1"/>
        <rFont val="돋움"/>
        <family val="3"/>
        <charset val="129"/>
      </rPr>
      <t>이후에도</t>
    </r>
    <r>
      <rPr>
        <sz val="10"/>
        <color theme="1"/>
        <rFont val="Arial"/>
        <family val="2"/>
      </rPr>
      <t xml:space="preserve"> r/o aspiration pneumonia</t>
    </r>
    <r>
      <rPr>
        <sz val="10"/>
        <color theme="1"/>
        <rFont val="돋움"/>
        <family val="3"/>
        <charset val="129"/>
      </rPr>
      <t>로</t>
    </r>
    <r>
      <rPr>
        <sz val="10"/>
        <color theme="1"/>
        <rFont val="Arial"/>
        <family val="2"/>
      </rPr>
      <t xml:space="preserve"> </t>
    </r>
    <r>
      <rPr>
        <sz val="10"/>
        <color theme="1"/>
        <rFont val="돋움"/>
        <family val="3"/>
        <charset val="129"/>
      </rPr>
      <t>진료</t>
    </r>
    <r>
      <rPr>
        <sz val="10"/>
        <color theme="1"/>
        <rFont val="Arial"/>
        <family val="2"/>
      </rPr>
      <t xml:space="preserve"> </t>
    </r>
    <r>
      <rPr>
        <sz val="10"/>
        <color theme="1"/>
        <rFont val="돋움"/>
        <family val="3"/>
        <charset val="129"/>
      </rPr>
      <t>지속</t>
    </r>
    <phoneticPr fontId="2" type="noConversion"/>
  </si>
  <si>
    <t>Esophagus and stomach, McKeown operation;
No residual tumor
- Post-neoadjuvant chemoradiation therapy status (S 17-25536: SQUAMOUS CELL CARCINOMA, well differentiated)
- Tumor regression grade: grade 0 (complete regression)
- Surgical margin: free from carcinoma
- Number of metastatic lymph nodes: 0
- Number of examined lymph nodes: 66
  (LN Rt. Level 3, 0/4; LN Rt. Level 4, 0/10; LN Lt. level 3, 0/2; LN Lt. level 4, 0/9; LN Lt. level 6(see note2), 0/0; LN subpyloric, 0/0; LN#106R, 0/5; LN#2L, 0/0; LN#3P, 0/1; LN#5, 0/5; LN#4L, 0/3; LN#7, 0/4; LN#8L, 0/2; LN#8M, 0/7; LN#9, 0/0; LN#16, 0/4; LN#17, 0/7; LN#18, 0/3; LN Lt. level 6 (Fro#2), 0/0 (see note3))
- Lymphatic invasion: not identified 
- Venous invasion: not identified 
- Perineural invasion: not identified 
Pathologic staging (AJCC 7th)
- pT category: ypT0, no evidence of primary tumor
- pN category: ypN0, no metastasis in regional lymph nodes
Tissue labelled "Intercostal artery", "sternum", excision: No tumor involvement
Lung, right upper lobe, wedge resection ("RUL"): 1. No tumor involvement 
                                                                2. Calcified granulomas 
Note 1) Histopathologic mapping procedure was performed.
Note 2) Parathyroid tissue is included in "Lt. level 6". 
Note 3) Thyroid tissue is included in "Lt. level #6 (Fro#2)".</t>
    <phoneticPr fontId="2" type="noConversion"/>
  </si>
  <si>
    <t>esophagus, PET+ / node, Lt gastric</t>
    <phoneticPr fontId="2" type="noConversion"/>
  </si>
  <si>
    <t>33cm, GEJ</t>
    <phoneticPr fontId="2" type="noConversion"/>
  </si>
  <si>
    <t>배문택</t>
    <phoneticPr fontId="2" type="noConversion"/>
  </si>
  <si>
    <t>SNUH_170</t>
  </si>
  <si>
    <t>liver, bone, lung</t>
    <phoneticPr fontId="2" type="noConversion"/>
  </si>
  <si>
    <t>Esophagus, Mckeown operation:
SQUAMOUS CELL CARCINOMA, moderately differentiated (G2)
- Neoadjuvant treatment: chemoradiation therapy. 
- Tumor regression grade: grade 1 (moderate regression)
- Location of tumor: lower thoracic
- Size of tumor: 0.7 x 0.4 x 0.2 cm 
- Gross type: superficial
- Depth of invasion: invades muscularis propria
- Surgical margin: free from carcinoma
- Safety margin: proximal margin, 9.1 cm; distal margin, 4.9 cm; radial margin, 1 mm; 
- Number of metastatic lymph nodes: 1
- Number of examined lymph nodes: 59
  (LN#5, 0/11; LN#7, 0/7; LN#10, 0/2; LN#2L, 0/3; LN#4L, 0/5; LN#8L, 0/6; LN#8M, 0/4; LN#106R, 0/2; LN#18, 0/1; LN#16,  0/2; LN#17, 1/6; LN#Rt.lv3, 0/2; LN#Rt.lv4, 0/1; LN#Lt.lv3, 0/4; LN#Lt.lv4, 0/3; )
- Lymphatic invasion: not identified 
- Venous invasion: not identified 
- Perineural invasion: not identified 
- Tumor border: infiltrative
- Stromal reaction: none
- Intramural metastasis: not identified
- Precancerous lesion: not identified
Pathologic staging (AJCC 7th)
- pT category: ypT2, invades muscularis propria
- pN category: ypN1, metastasis in 1-2 regional lymph nodes
Tissue labelled "bronchial artery", excision: No tumor involvement</t>
    <phoneticPr fontId="2" type="noConversion"/>
  </si>
  <si>
    <t xml:space="preserve">0.7 x 0.4 x 0.2 cm </t>
  </si>
  <si>
    <t>ypT2N1M1</t>
    <phoneticPr fontId="2" type="noConversion"/>
  </si>
  <si>
    <t>Hybrid robot-assisted Mckeown operation + 3-field LN dissection + Lt hemihepatectomy</t>
    <phoneticPr fontId="2" type="noConversion"/>
  </si>
  <si>
    <r>
      <t xml:space="preserve">abd elective </t>
    </r>
    <r>
      <rPr>
        <sz val="10"/>
        <color theme="1"/>
        <rFont val="돋움"/>
        <family val="3"/>
        <charset val="129"/>
      </rPr>
      <t>일부</t>
    </r>
    <phoneticPr fontId="2" type="noConversion"/>
  </si>
  <si>
    <t>esophagus mass / Lt. gastric LN</t>
    <phoneticPr fontId="2" type="noConversion"/>
  </si>
  <si>
    <t>GEJ</t>
    <phoneticPr fontId="2" type="noConversion"/>
  </si>
  <si>
    <t>이부조</t>
    <phoneticPr fontId="2" type="noConversion"/>
  </si>
  <si>
    <t>SNUH_169</t>
  </si>
  <si>
    <t>Esophagus and stomach, McKeown operation:
NO RESIDUAL TUMOR
- Post-neoadjuvant chemoradiation therapy (S 17-22554: SQUAMOUS CELL CARCINOMA, moderately differentiated) 
- Tumor regression grade: grade 0 (complete regression)
- Surgical margin: free from carcinoma
- Number of metastatic lymph nodes: 0
- Number of examined lymph nodes: 89
  (LN#2L, 0/3; LN#3P, 0/0; LN#4L, 0/1; LN#5, 0/8; LN#7, 0/7; LN#8M, 0/4; LN#8L, 0/6; LN#17, 0/11; LN#106R, 0/3; LN#Rt. Level 3, 0/6; LN#Rt. Level 4, 0/15; LN#Lt. level 30/6; LN#Lt. level 4, 0/19)
- Lymphatic invasion: not identified 
- Venous invasion: not identified 
- Perineural invasion: not identified 
- Intramural metastasis: not identified
- Precancerous lesion: not identified
Pathologic staging (AJCC 7th)
- pT category: ypT0, no evidence of primary tumor
- pN category: ypN0, no metastasis in regional lymph nodes
Tissue labelled "Liver biopsy (including Fro#1)", excision:
 Non-neoplastic hepatic parenchyme with
  no tumor involvement
Tissue labelled "stomach nodule", excision:
 Spindle cell proliferative lesion with
  1) increased cellularity: mild
  2) nuclear pleomorphism: mild
  3) mitosis: not identified
  4) necrosis: not identified,  
  consistent with gastrointestinal stromal tumor, microscopic
Tissue labelled "bronchial artery", excision:
 No tumor involvement</t>
    <phoneticPr fontId="2" type="noConversion"/>
  </si>
  <si>
    <r>
      <t>med elective, both SCL (elective</t>
    </r>
    <r>
      <rPr>
        <sz val="10"/>
        <color theme="1"/>
        <rFont val="돋움"/>
        <family val="3"/>
        <charset val="129"/>
      </rPr>
      <t>라고</t>
    </r>
    <r>
      <rPr>
        <sz val="10"/>
        <color theme="1"/>
        <rFont val="Arial"/>
        <family val="2"/>
      </rPr>
      <t xml:space="preserve"> </t>
    </r>
    <r>
      <rPr>
        <sz val="10"/>
        <color theme="1"/>
        <rFont val="돋움"/>
        <family val="3"/>
        <charset val="129"/>
      </rPr>
      <t>하기에는</t>
    </r>
    <r>
      <rPr>
        <sz val="10"/>
        <color theme="1"/>
        <rFont val="Arial"/>
        <family val="2"/>
      </rPr>
      <t xml:space="preserve"> </t>
    </r>
    <r>
      <rPr>
        <sz val="10"/>
        <color theme="1"/>
        <rFont val="돋움"/>
        <family val="3"/>
        <charset val="129"/>
      </rPr>
      <t>좀</t>
    </r>
    <r>
      <rPr>
        <sz val="10"/>
        <color theme="1"/>
        <rFont val="Arial"/>
        <family val="2"/>
      </rPr>
      <t xml:space="preserve"> </t>
    </r>
    <r>
      <rPr>
        <sz val="10"/>
        <color theme="1"/>
        <rFont val="돋움"/>
        <family val="3"/>
        <charset val="129"/>
      </rPr>
      <t>애매하다</t>
    </r>
    <r>
      <rPr>
        <sz val="10"/>
        <color theme="1"/>
        <rFont val="Arial"/>
        <family val="2"/>
      </rPr>
      <t>)</t>
    </r>
    <phoneticPr fontId="2" type="noConversion"/>
  </si>
  <si>
    <t>esophageal mass / scn / right upper paratracheal LN</t>
    <phoneticPr fontId="2" type="noConversion"/>
  </si>
  <si>
    <t>scl/med</t>
    <phoneticPr fontId="2" type="noConversion"/>
  </si>
  <si>
    <t>24-27</t>
    <phoneticPr fontId="2" type="noConversion"/>
  </si>
  <si>
    <t>문병국</t>
    <phoneticPr fontId="2" type="noConversion"/>
  </si>
  <si>
    <t>SNUH_168</t>
  </si>
  <si>
    <t>pleural seeding, Lt SCL</t>
    <phoneticPr fontId="2" type="noConversion"/>
  </si>
  <si>
    <t>pleural seeding -&gt; medistinal, local (proximal end of esophagus)</t>
    <phoneticPr fontId="2" type="noConversion"/>
  </si>
  <si>
    <t>aggravated</t>
    <phoneticPr fontId="2" type="noConversion"/>
  </si>
  <si>
    <r>
      <t xml:space="preserve">Esophagus and stomach, McKeown operation:
SQUAMOUS CELL CARCINOMA, moderately differentiated (G2), residual
- Neoadjuvant treatment: chemoradiation therapy. 
- Tumor regression grade: grade 3 (poor regression)
- Location of tumor: middle thoracic
- Size of tumor: 1.3 x 1.2 x 0.6 cm. 
- Gross type: diffuse infiltrative
- Depth of invasion: invades muscularis propria
- Surgical margin: free from carcinoma
- Safety margin: proximal margin, 2.0 cm; radial margin, 2 mm
- Lymphatic invasion: extramural, peritumoral
- Venous invasion: not identified 
- Perineural invasion: mural, intratumoral
- Tumor border: infiltrative
- Stromal reaction: none
- Intramural metastasis: not identified
- Precancerous lesion: low grade dysplasia
Pathologic staging (AJCC 7th)
- pT category: ypT2, invades muscularis propria
- pN category: ypN1, metastasis in 1-2 regional lymph nodes
- pM category: ypM1, distant metastasis in other organ (lung ("RLL nodule #1" and "RUL nodule #1"))
Stomach, wedge resection: 
 Spindle cell proliferative lesion (see note 1) with 
  1) size: 0.4 x 0.3 x 0.2 cm
  2) extent of tumor: limited to muscularis propria 
  3) surgical margin: free from tumor (safety margin: lateral margin, 1.3 cm) 
  4) increased cellularity: mild
  5) coagulative necrosis: absent
  6) nuclear pleomorphism: minimal
  7) mitosis: 1/10HPF
Lung, right lobe, wedge resection:
 METASTATIC SQUAMOUS CELL CARCINOMA, clinically from esophagus with
  1) size: 0.7 x 0.5 x 0.5 cm ("RLL nodule #1") and 0.6 x 0.4 cm ("RUL nodule #1")
  2) clear resection margin 
Note 1) </t>
    </r>
    <r>
      <rPr>
        <sz val="10"/>
        <color theme="1"/>
        <rFont val="돋움"/>
        <family val="3"/>
        <charset val="129"/>
      </rPr>
      <t>감별진단</t>
    </r>
    <r>
      <rPr>
        <sz val="10"/>
        <color theme="1"/>
        <rFont val="Arial"/>
        <family val="2"/>
      </rPr>
      <t xml:space="preserve"> </t>
    </r>
    <r>
      <rPr>
        <sz val="10"/>
        <color theme="1"/>
        <rFont val="돋움"/>
        <family val="3"/>
        <charset val="129"/>
      </rPr>
      <t>위한</t>
    </r>
    <r>
      <rPr>
        <sz val="10"/>
        <color theme="1"/>
        <rFont val="Arial"/>
        <family val="2"/>
      </rPr>
      <t xml:space="preserve"> </t>
    </r>
    <r>
      <rPr>
        <sz val="10"/>
        <color theme="1"/>
        <rFont val="돋움"/>
        <family val="3"/>
        <charset val="129"/>
      </rPr>
      <t>면역조직화학염색</t>
    </r>
    <r>
      <rPr>
        <sz val="10"/>
        <color theme="1"/>
        <rFont val="Arial"/>
        <family val="2"/>
      </rPr>
      <t xml:space="preserve"> </t>
    </r>
    <r>
      <rPr>
        <sz val="10"/>
        <color theme="1"/>
        <rFont val="돋움"/>
        <family val="3"/>
        <charset val="129"/>
      </rPr>
      <t>시행</t>
    </r>
    <r>
      <rPr>
        <sz val="10"/>
        <color theme="1"/>
        <rFont val="Arial"/>
        <family val="2"/>
      </rPr>
      <t xml:space="preserve"> </t>
    </r>
    <r>
      <rPr>
        <sz val="10"/>
        <color theme="1"/>
        <rFont val="돋움"/>
        <family val="3"/>
        <charset val="129"/>
      </rPr>
      <t>중이오니</t>
    </r>
    <r>
      <rPr>
        <sz val="10"/>
        <color theme="1"/>
        <rFont val="Arial"/>
        <family val="2"/>
      </rPr>
      <t xml:space="preserve"> </t>
    </r>
    <r>
      <rPr>
        <sz val="10"/>
        <color theme="1"/>
        <rFont val="돋움"/>
        <family val="3"/>
        <charset val="129"/>
      </rPr>
      <t>추후</t>
    </r>
    <r>
      <rPr>
        <sz val="10"/>
        <color theme="1"/>
        <rFont val="Arial"/>
        <family val="2"/>
      </rPr>
      <t xml:space="preserve"> </t>
    </r>
    <r>
      <rPr>
        <sz val="10"/>
        <color theme="1"/>
        <rFont val="돋움"/>
        <family val="3"/>
        <charset val="129"/>
      </rPr>
      <t>확인</t>
    </r>
    <r>
      <rPr>
        <sz val="10"/>
        <color theme="1"/>
        <rFont val="Arial"/>
        <family val="2"/>
      </rPr>
      <t xml:space="preserve"> </t>
    </r>
    <r>
      <rPr>
        <sz val="10"/>
        <color theme="1"/>
        <rFont val="돋움"/>
        <family val="3"/>
        <charset val="129"/>
      </rPr>
      <t>바랍니다</t>
    </r>
    <r>
      <rPr>
        <sz val="10"/>
        <color theme="1"/>
        <rFont val="Arial"/>
        <family val="2"/>
      </rPr>
      <t>. 
Note 2) Histopathologic mapping procedure was performed.</t>
    </r>
    <phoneticPr fontId="2" type="noConversion"/>
  </si>
  <si>
    <t>1.3 x 1.2 x 0.6 cm</t>
  </si>
  <si>
    <t>grade 3 (poor regression)</t>
  </si>
  <si>
    <t>Esophageal mass / 2R</t>
    <phoneticPr fontId="2" type="noConversion"/>
  </si>
  <si>
    <t>Rt. upper paratracheal LN</t>
    <phoneticPr fontId="2" type="noConversion"/>
  </si>
  <si>
    <t>23-26</t>
    <phoneticPr fontId="2" type="noConversion"/>
  </si>
  <si>
    <t>김좌영</t>
    <phoneticPr fontId="2" type="noConversion"/>
  </si>
  <si>
    <t>SNUH_167</t>
  </si>
  <si>
    <t>pleural seeding</t>
  </si>
  <si>
    <t>in-field / distal</t>
    <phoneticPr fontId="2" type="noConversion"/>
  </si>
  <si>
    <t>pleural seeding, LN</t>
    <phoneticPr fontId="2" type="noConversion"/>
  </si>
  <si>
    <t>Esophagus and stomach, McKeown operation;
SQUAMOUS CELL CARCINOMA, moderately differentiated (G2), residual
- Neoadjuvant treatment: chemoradiation therapy. 
- Tumor regression grade: grade 1 (moderate regression)
- Location of tumor: upper thoracic
- Size of tumor: 2.0 x 1.8 x 0.3 cm. 
- Gross type: diffuse infiltrative
- Depth of invasion: invades muscularis propria
- Surgical margin: free from carcinoma
- Safety margin: proximal margin, 0.6 cm; distal margin, 16.9 cm; radial margin, 0.3 mm
- Number of metastatic lymph nodes: 0
- Number of examined lymph nodes: 93
 (LN#5, 0/5; LN#7, 0/10; LN#16, 0/3; LN#19, 0/1; LN #4L, 0/2; LN#9L, 0/1; LN#106R, 0/1; 
LN#3A, 0/7; LN#106L, 0/4; LN#10L, 0/3; LN#8L, 0/10; LN#8M, 0/6; LN#17-1, 0/9; LN#17-2, 0/5; LN#17-3, 0/7; "Rt. Level #3", 0/7; "Rt. level #4", 0/0; "Lt. level #3", 0/5; "Lt. level #4", 0/7)
- Lymphatic invasion: mural, peritumoral
- Venous invasion: not identified 
- Perineural invasion: not identified 
- Tumor border: infiltrative
- Stromal reaction: none
- Intramural metastasis: not identified
- Precancerous lesion: not identified
Pathologic staging (AJCC 7th)
- pT category: ypT2, invades muscularis propria
- pN category: ypN0, no metastasis in regional lymph nodes</t>
    <phoneticPr fontId="2" type="noConversion"/>
  </si>
  <si>
    <t>2.0 x 1.8 x 0.3 cm</t>
  </si>
  <si>
    <t>mid esophageal mass / 3A</t>
    <phoneticPr fontId="2" type="noConversion"/>
  </si>
  <si>
    <t>3A</t>
    <phoneticPr fontId="2" type="noConversion"/>
  </si>
  <si>
    <t>양중심</t>
    <phoneticPr fontId="2" type="noConversion"/>
  </si>
  <si>
    <t>SNUH_166</t>
  </si>
  <si>
    <r>
      <rPr>
        <sz val="10"/>
        <color theme="1"/>
        <rFont val="돋움"/>
        <family val="3"/>
        <charset val="129"/>
      </rPr>
      <t>현재는</t>
    </r>
    <r>
      <rPr>
        <sz val="10"/>
        <color theme="1"/>
        <rFont val="Arial"/>
        <family val="2"/>
      </rPr>
      <t xml:space="preserve"> NED</t>
    </r>
    <phoneticPr fontId="2" type="noConversion"/>
  </si>
  <si>
    <t>Esophagus and stomach, McKeown operation;
SQUAMOUS CELL CARCINOMA, moderately differentiated (G2)
- Neoadjuvant treatment: chemoradiation therapy. 
- Tumor regression grade: grade 3 (poor regression)
- Location of tumor: upper thoracic
- Size of tumor: 2.8 x 2.4 x 1.1 cm. 
- Gross type: ulceroinfiltrative
- Depth of invasion: invades adventitia
- Surgical margin: involved by carcinoma
- Safety margin: proximal margin (Fro #1-#2), 0 cm; distal margin, 17.5 cm; radial margin, 0.5 mm; 
- Number of metastatic lymph nodes: 2
- Number of examined lymph nodes: 60
  (peritumoral LN, 1/1; LN3p, 0/0; LN4L, 0/2; LN5,0/5; LN7, 0/1; LN#8L, 0/8; LN8L0/0; LN#8M, 0/3; LN9R, 0/1; LN#16, 0/0; LN106R, 0/9; LN Rt.lv3, 0/3; LN Rt.lv4, 1/7; LN Lt.lv3, 0/1; LN Lt.lv4, 0/9; LN#17-1, 0/6; LN#17-20/3; LN#17-3, 0/1)
- Lymphatic invasion: not identified 
- Venous invasion: not identified 
- Perineural invasion: mural, intratumoral
- Tumor border: infiltrative
- Stromal reaction: none
- Intramural metastasis: not identified
- Precancerous lesion: not identified
Pathologic staging (AJCC 7th)
- pT category: ypT3, invades adventitia
- pN category: ypN1, metastasis in 1-2 regional lymph nodes
Tissue labelled "Bronchial artery", excision: No tumor involvement</t>
    <phoneticPr fontId="2" type="noConversion"/>
  </si>
  <si>
    <t>2.8 x 2.4 x 1.1 cm</t>
  </si>
  <si>
    <t>IIIB</t>
    <phoneticPr fontId="2" type="noConversion"/>
  </si>
  <si>
    <t>ypT3N1</t>
    <phoneticPr fontId="2" type="noConversion"/>
  </si>
  <si>
    <t>esophageal mass / Rt. SCN</t>
    <phoneticPr fontId="2" type="noConversion"/>
  </si>
  <si>
    <t>Rt. Supraclavicular LN</t>
    <phoneticPr fontId="2" type="noConversion"/>
  </si>
  <si>
    <t>cT2N0M1</t>
    <phoneticPr fontId="2" type="noConversion"/>
  </si>
  <si>
    <t>20-24</t>
    <phoneticPr fontId="2" type="noConversion"/>
  </si>
  <si>
    <t>조성배</t>
    <phoneticPr fontId="2" type="noConversion"/>
  </si>
  <si>
    <t>SNUH_161</t>
  </si>
  <si>
    <t>lung, peritoneal seeding</t>
    <phoneticPr fontId="2" type="noConversion"/>
  </si>
  <si>
    <t>lung, peritoneal seeding --&gt; mediastinal LNs</t>
    <phoneticPr fontId="2" type="noConversion"/>
  </si>
  <si>
    <t>pneumonia</t>
    <phoneticPr fontId="2" type="noConversion"/>
  </si>
  <si>
    <t>Esophagus and stomach, McKeown operation;
SQUAMOUS CELL CARCINOMA, moderately differentiated (G2), residual
- Post chemoradiation therapy status (S16-66649: Squamous cell carcinoma, moderate differentiated)
- Neoadjuvant treatment: chemoradiation therapy
- Tumor regression grade: grade 1 (moderate regression)
- Location of tumor: middle thoracic
- Size of tumor: 1.9 x 1.6 x 0.35 cm
- Gross type: superficial
- Depth of invasion: invades muscularis propria
- Surgical margin: free from carcinoma
- Safety margin: proximal margin, 4.9 cm; distal margin, 6.3 cm; 
- Number of metastatic lymph nodes: 2
- Number of examined lymph nodes: 42
  (LN#2L, 0/3; LN#4L, 0/2; LN#7, 1/2; LN#8L, 0/1; LN#8M, 1/2; LN#8P, 0/0; LN#10R, 0/3; LN#10L, 0/2; LN#106R, 0/8; LN#16, 0/0; LN#17, 0/5; LN#19, 0/3; LN#RT4, 0/5; LN#LT4, 0/5; LN#LT6, 0/1; )
- Lymphatic invasion: not identified 
- Venous invasion: not identified 
- Perineural invasion: not identified 
- Tumor border: infiltrative
- Stromal reaction: none
- Intramural metastasis: not identified
- Precancerous lesion: not identified
Pathologic staging (AJCC 7th)
- pT category: ypT2
- pN category: ypN1
Tissue labeled "bronchial artery", excision:
 No tumor involvement
Note) Histopathologic mapping procedure was performed.</t>
    <phoneticPr fontId="2" type="noConversion"/>
  </si>
  <si>
    <t>1.9 x 1.6 x 0.35 cm</t>
  </si>
  <si>
    <t>Robot-assisted Mckeown operation + 3-field LN dissection</t>
    <phoneticPr fontId="2" type="noConversion"/>
  </si>
  <si>
    <t>1R node, primary mass</t>
  </si>
  <si>
    <t>1R, subcarinal LN</t>
    <phoneticPr fontId="2" type="noConversion"/>
  </si>
  <si>
    <t>cT4aN1M0</t>
    <phoneticPr fontId="2" type="noConversion"/>
  </si>
  <si>
    <t>하종국</t>
    <phoneticPr fontId="2" type="noConversion"/>
  </si>
  <si>
    <t>SNUH_159</t>
  </si>
  <si>
    <t xml:space="preserve">Esophagus, McKeown operation;
SQUAMOUS CELL CARCINOMA, moderately differentiated (G2), residual
- Neoadjuvant treatment: chemoradiation therapy. 
- Tumor regression grade: grade 1 (moderate regression)
- Location of tumor: lower thoracic
- Size of tumor: 0.4 x 0.2 x 0.1 cm. 
- Gross type: superficial
- Depth of invasion: invades mucosa (lamina propria)
- Surgical margin: free from carcinoma
- Safety margin: proximal margin, 7.5 cm; distal margin, 7.2 cm
- Number of metastatic lymph nodes: 0
- Number of examined lymph nodes: 59 
  (LN#2L, 0/2; LN#4L, 0/1; LN#5,0/7; LN#7, 0/7; LN#15, 0/0; LN#17, 0/4; LN#20, 0/1; LN#106R,0/1; LN#RT.LV4, 0/3; LN#LT.LV4, 0/7; LN#RT.LV6, 0/3; (see note) LN#LT.LV6, 0/1; LN#16, 0/5; LN#17-1, 0/4; LN#17-2, 0/3; LN#17-3, 0/0; LN#18, 0/3; LN#18M, 0/0; LN#19, 0/3; LN#8L, 0/4)
- Lymphatic invasion: not identified 
- Venous invasion: not identified 
- Perineural invasion: not identified 
- Tumor border: not applicable
- Stromal reaction: not applicable
- Intramural metastasis: not identified
- Precancerous lesion: not identified
Pathologic staging (AJCC 7th)
- pT category: ypT1a
- pN category: ypN0, no metastasis in regional lymph nodes
Stomach, partial gastrectomy: No tumor involvement
Tissue labeled "anastomosis", excision: No tumor involvement
(Note) parathyroid gland tissue is included in "LN Lt. Lv6". </t>
    <phoneticPr fontId="2" type="noConversion"/>
  </si>
  <si>
    <t>0.4 x 0.2 x 0.1 cm</t>
  </si>
  <si>
    <t>IA</t>
    <phoneticPr fontId="2" type="noConversion"/>
  </si>
  <si>
    <t>ypT1aN0</t>
    <phoneticPr fontId="2" type="noConversion"/>
  </si>
  <si>
    <t>3-4</t>
    <phoneticPr fontId="2" type="noConversion"/>
  </si>
  <si>
    <t>eso mass / 2R, 8</t>
    <phoneticPr fontId="2" type="noConversion"/>
  </si>
  <si>
    <t>2R, 8, perigastric area</t>
    <phoneticPr fontId="2" type="noConversion"/>
  </si>
  <si>
    <t>28-35</t>
    <phoneticPr fontId="2" type="noConversion"/>
  </si>
  <si>
    <t>정종일</t>
    <phoneticPr fontId="2" type="noConversion"/>
  </si>
  <si>
    <t>SNUH_157</t>
  </si>
  <si>
    <r>
      <t xml:space="preserve">Postop care </t>
    </r>
    <r>
      <rPr>
        <sz val="10"/>
        <color theme="1"/>
        <rFont val="돋움"/>
        <family val="3"/>
        <charset val="129"/>
      </rPr>
      <t>중</t>
    </r>
    <r>
      <rPr>
        <sz val="10"/>
        <color theme="1"/>
        <rFont val="Arial"/>
        <family val="2"/>
      </rPr>
      <t xml:space="preserve"> anastomosis site leakage. </t>
    </r>
    <r>
      <rPr>
        <sz val="10"/>
        <color theme="1"/>
        <rFont val="돋움"/>
        <family val="3"/>
        <charset val="129"/>
      </rPr>
      <t>이후</t>
    </r>
    <r>
      <rPr>
        <sz val="10"/>
        <color theme="1"/>
        <rFont val="Arial"/>
        <family val="2"/>
      </rPr>
      <t xml:space="preserve"> </t>
    </r>
    <r>
      <rPr>
        <sz val="10"/>
        <color theme="1"/>
        <rFont val="돋움"/>
        <family val="3"/>
        <charset val="129"/>
      </rPr>
      <t>퇴원</t>
    </r>
    <r>
      <rPr>
        <sz val="10"/>
        <color theme="1"/>
        <rFont val="Arial"/>
        <family val="2"/>
      </rPr>
      <t xml:space="preserve"> </t>
    </r>
    <r>
      <rPr>
        <sz val="10"/>
        <color theme="1"/>
        <rFont val="돋움"/>
        <family val="3"/>
        <charset val="129"/>
      </rPr>
      <t>못하고</t>
    </r>
    <r>
      <rPr>
        <sz val="10"/>
        <color theme="1"/>
        <rFont val="Arial"/>
        <family val="2"/>
      </rPr>
      <t xml:space="preserve"> </t>
    </r>
    <r>
      <rPr>
        <sz val="10"/>
        <color theme="1"/>
        <rFont val="돋움"/>
        <family val="3"/>
        <charset val="129"/>
      </rPr>
      <t>사망</t>
    </r>
    <r>
      <rPr>
        <sz val="10"/>
        <color theme="1"/>
        <rFont val="Arial"/>
        <family val="2"/>
      </rPr>
      <t>.</t>
    </r>
    <phoneticPr fontId="2" type="noConversion"/>
  </si>
  <si>
    <t>Esophagus and stomach, Ivor-Lewis operation;
No residual tumor, 
- Post-chemoradiation therapy status (S 16-40947: SQUAMOUS CELL CARCINOMA, moderately differentiated
- Neoadjuvant treatment: chemoradiation therapy. 
- Tumor regression grade: grade 0 (complete regression)
- ypT stage (AJCC 7th): ypT0
- Surgical margin: free from carcinoma
- Number of metastatic lymph nodes: 0
- Number of examined lymph nodes: 45
  (LN#2L4L,0/1; LN#3P,0/2; LN#4L,0/1; LN#5,0/5; LN#Lt.5,0/7; LN#7,0/3; LN#8L,0/2; LN#8M,0/3; LN#10R,0/2; LN#16,0/5; LN#17-2,0/1; LN#17-3-1,0/0; LN#17-3-2,0/10; LN#18,0/3; LN#19,0/0; )
- ypN stage (AJCC 7th): ypN0, no metastasis in regional lymph nodes
- Lymphatic invasion: not identified 
- Venous invasion: not identified 
- Perineural invasion: not identified 
- Tumor border: not applicable
- Stromal reaction: none
- Intramural metastasis: not identified
- Precancerous lesion: not identified
- Additional lesion: leiomyoma in proper muscle layer with 
                            size: 0.5 x 0.3 x 0.2 cm
Tissue labelled "E-G anastomosis", exsicion: No tumor involvement
Tissue labelled "bronchial artery", excision: No tumor involvement
Note) Histopathologic mapping procedure was performed.</t>
    <phoneticPr fontId="2" type="noConversion"/>
  </si>
  <si>
    <t>Robot-assisted Ivor Lewis operation, 2-field LN dissection</t>
    <phoneticPr fontId="2" type="noConversion"/>
  </si>
  <si>
    <t>2-3</t>
    <phoneticPr fontId="2" type="noConversion"/>
  </si>
  <si>
    <t>eso mas / subcarinal, subaortic node</t>
    <phoneticPr fontId="2" type="noConversion"/>
  </si>
  <si>
    <t>subcarinal LN, subaortic LN</t>
    <phoneticPr fontId="2" type="noConversion"/>
  </si>
  <si>
    <t>송한규</t>
    <phoneticPr fontId="2" type="noConversion"/>
  </si>
  <si>
    <t>SNUH_155</t>
  </si>
  <si>
    <t>diaphragmatic hernia reduction (2020/3/17, 2017/9/14)</t>
    <phoneticPr fontId="2" type="noConversion"/>
  </si>
  <si>
    <t>Esophagus and stomach, McKeown operation;
No residual tumor
- Neoadjuvant treatment: chemoradiation therapy.
- Tumor regression grade: grade 0 (complete regression)
- Gross type: unclassfiable
- ypT stage (AJCC 7th): ypT0
- Surgical margin: free from carcinoma
- Number of metastatic lymph nodes: 0
- Number of examined lymph nodes: 50
  (peritumoral LN, 0/1; LN#2L+#4L, 0/0; LN#5, 0/5; LN#7, 0/12; LN#8M, 0/1; LN#8L, 0/1; LN#16, 0/1; LN#17, 0/8; LN#18, 0/2; LN#19, 0/3; LN#Rt.3L, 0/2; LN#Rt.3R, 0/7; LN#Rt.4R 0/5; "Rt.recurrent laryngeal", 0/1 )
- ypN stage (AJCC 7th): ypN0, no metastasis in regional lymph nodes
Blood vessel, "pulmonary artery", excision:
 No tumor involvement
Note) Histolopathologic mapping procedure was performed.</t>
    <phoneticPr fontId="2" type="noConversion"/>
  </si>
  <si>
    <t>Hybrid robot-assisted Mckeown operation + 3-field LN dissection</t>
    <phoneticPr fontId="2" type="noConversion"/>
  </si>
  <si>
    <t>med elective / scl abd no elective</t>
    <phoneticPr fontId="2" type="noConversion"/>
  </si>
  <si>
    <t>eso mass / Rt scn, perigastic LNs</t>
    <phoneticPr fontId="2" type="noConversion"/>
  </si>
  <si>
    <t>scl/abd</t>
    <phoneticPr fontId="2" type="noConversion"/>
  </si>
  <si>
    <t>Lt gastric LN, Rt. SCL</t>
    <phoneticPr fontId="2" type="noConversion"/>
  </si>
  <si>
    <t>30cm-GEJ</t>
    <phoneticPr fontId="2" type="noConversion"/>
  </si>
  <si>
    <t>최흥우</t>
    <phoneticPr fontId="2" type="noConversion"/>
  </si>
  <si>
    <t>SNUH_152</t>
  </si>
  <si>
    <t>liver, lung</t>
  </si>
  <si>
    <t>Lt gastric LN resection site, liver, lung</t>
    <phoneticPr fontId="2" type="noConversion"/>
  </si>
  <si>
    <t>grave prognosis</t>
    <phoneticPr fontId="2" type="noConversion"/>
  </si>
  <si>
    <t>Stomach, liver, diaphragm and soft tissue, "LN#17", excision:
Metastatic SQUAMOUS CELL CARCINOMA, moderately differentiated with
 1) size: 3.4 x 3.4 x 2.9 cm
 2) involved organs: liver, diaphragm
 3) surgical margin: involved by carcinoma
    (safety margin: stomach proximal margin, 1.1 cm; stomach distal margin, 1.8 cm; liver parenchymal margin, 0 cm; diaphragm margin, 0.5 cm)
 4) associated finding: adhesion to serosal surface of stomach without direct invasion
Esophagus, Ivor-Lewis operation:
Metastatic SQUANOUS CELL CARCINOMA in a lymph node
No residual tumor in primary site
- Neoadjuvant treatment: chemoradiation therapy. 
- Previous pathology report: S 16-27831 (SQUAMOUS CELL CARCINOMA, moderately differentiated)
- Tumor regression grade: grade 0 (complete regression) in primary site
- Gross type: unclassfiable
- ypT stage (AJCC 7th): ypT0
- Surgical margin: free from carcinoma
- Number of metastatic lymph nodes: 1
- Number of examined lymph nodes: 28
  (LN#2L+4L, 0/1; LN#5, 0/4; LN#7, 0/12; LN#8M, 0/1; LN#8L, 1/1; LN#10L, 0/3; LN#16, 0/1; Right recurrent laryngeal LN, 0/5; )
- ypN stage (AJCC 7th): ypN1, metastasis in 1-2 regional lymph nodes
- Lymphatic invasion: not identified 
- Venous invasion: not identified 
- Perineural invasion: not identified 
- Stromal reaction: none
- Intramural metastasis: not identified
Lung, right upper lobe and right lower lobe, wedge resection:  
Bullae and blebs 
 with no tumor involvement ("RUL#1", "RUL#2" and "RLL#1")
Blood vessel, "bronchial artery", excision:
Vascular wall with no diagnostic abnormalities recognized
Omentum, "greater omentum", omentectomy: 
No tumor involvement</t>
    <phoneticPr fontId="2" type="noConversion"/>
  </si>
  <si>
    <t>grade 0 (complete regression) in primary site</t>
  </si>
  <si>
    <t>Hybrid robot-assisted Ivor Lewis operation en bloc resection of liver + 2-field LN dissection</t>
    <phoneticPr fontId="2" type="noConversion"/>
  </si>
  <si>
    <t>med elective / abd no elective</t>
    <phoneticPr fontId="2" type="noConversion"/>
  </si>
  <si>
    <t>eso / Lt gastric LN</t>
    <phoneticPr fontId="2" type="noConversion"/>
  </si>
  <si>
    <t xml:space="preserve">Lt gastric LN </t>
  </si>
  <si>
    <t>손인수</t>
    <phoneticPr fontId="2" type="noConversion"/>
  </si>
  <si>
    <t>SNUH_151</t>
  </si>
  <si>
    <t>BLL lung, Lt para-aortic area</t>
    <phoneticPr fontId="2" type="noConversion"/>
  </si>
  <si>
    <t>lung, retroperitoneal LN</t>
    <phoneticPr fontId="2" type="noConversion"/>
  </si>
  <si>
    <t>pall chemo + SABR to PAN</t>
    <phoneticPr fontId="2" type="noConversion"/>
  </si>
  <si>
    <t>Esophagus, Ivor-Lewis operation;
SQUAMOUS CELL CARCINOMA, moderately differentiated (G2), residual
- Neoadjuvant treatment: chemoradiation therapy. 
- Tumor regression grade: grade 1 (moderate regression)
- Gross type: superficial
- Location of tumor: lower thoracic
- Size of tumor: 0.8 x 0.5 x 0.1 cm. 
- Depth of invasion: invades submucosa ; depth of submucosal invasion, 0.9 mm
- ypT stage (AJCC 7th): ypT1b
- Surgical margin: free from carcinoma
- Safety margin: proximal margin, 3.4 cm; distal margin, 16.9 cm; radial margin7 mm; 
- Number of metastatic lymph nodes: 1
- Number of examined lymph nodes: 60
  (LN#4R, 0/4; LN#5, 0/4; LN#7, 0/14; LN#8L, 0/8; LN#8M, 0/1; LN#12L, 0/1; LN#16, 0/0; LN#17, 0/0; LN#17-1, 1/12; LN#17-2, 0/8; LN#17-3, 0/1; LN#18, 0/2; LN#20, 0/0; Rt. Recurrent laryngeal, 0/5)
- ypN stage (AJCC 7th): ypN1, metastasis in 1-2 regional lymph nodes
- Lymphatic invasion: not identified 
- Venous invasion: not identified
- Perineural invasion: not identified 
- Tumor border: infiltrative
- Stromal reaction: none
- Intramural metastasis: not identified
- Precancerous lesion: not identified
- Associated findings: none
- Additional lesion: none
Tissue labeled "diaphragm" and "anastomosis site", excision:
No tumor involvement
Note) Histopathologic mapping procedure was performed.</t>
    <phoneticPr fontId="2" type="noConversion"/>
  </si>
  <si>
    <t>0.8 x 0.5 x 0.1 cm</t>
  </si>
  <si>
    <t>Hybrid robot-assisted Ivor Lewis operation + 2-field LN dissection</t>
    <phoneticPr fontId="2" type="noConversion"/>
  </si>
  <si>
    <t>eso mass, paraeso LN / Lt gastric LN</t>
    <phoneticPr fontId="2" type="noConversion"/>
  </si>
  <si>
    <t>paraesophageal, Lt perigastric LN</t>
    <phoneticPr fontId="2" type="noConversion"/>
  </si>
  <si>
    <t>장봉화</t>
    <phoneticPr fontId="2" type="noConversion"/>
  </si>
  <si>
    <t>SNUH_150</t>
  </si>
  <si>
    <t>bone</t>
    <phoneticPr fontId="2" type="noConversion"/>
  </si>
  <si>
    <t>pall RT</t>
    <phoneticPr fontId="2" type="noConversion"/>
  </si>
  <si>
    <t>para-esophageal LN, bone</t>
    <phoneticPr fontId="2" type="noConversion"/>
  </si>
  <si>
    <t>Esophagus, Mckeown operation:
 SQUAMOUS CELL CARCINOMA, poorly differentiated
  - Neoadjuvant treatment: yes, chemoradiation therapy status
     (S12-48793: squamous cell carcinoma, moderately differentiated)
  - Tumor regression grade: grade 2 (minimal response)
  - Gross type: ulceroinfiltrative
  - Location of tumor: middle thoracic
  - Residual size of tumor: 2.5 x 2.0 x 0.6cm
  - Depth of invasion (AJCC 7th ed.):
     invades adventitia (ypT3)
  - Surgical margin: free from carcinoma
     (safety margin: proximal, 1.6cm; distal, 8.5cm; radial, 1mm)
  - Lymph node: metastasis in four out of 105 lymph nodes (ypN2)
     (LN#2R, 0/15; LN#2L (including Fro#1), 0/1; LN#3P, 0/3;
      LN#4R, 0/6; LN#4L, 0/0; LN#5, 0/12; LN#7A, 0/5; 
      LN#7B, 0/5; LN#8M, 0/0; LN#8L, 0/5; LN#10R, 0/2;
      LN#10L, 0/1; LN#16, 0/1; LN#17, 0/10; Rt. level 3, 0/3;
      Rt. level 4 (including Fro#2), 2/5; Rt. level 5, 2/3;
      Rt. level 6, 0/0 (see note); Lt. level 2, 0/1; 
      Lt. level 3, 0/12; Lt. level 4, 0/10; Lt. level 5, 0/4;
      Rt and Lt level 6, 0/0 (see note); 
      Rt. recurrent laryngeal, 0/1)
  - Lymphatic invasion: present, extramural, peritumoral
  - Venous invasion: not identified
  - Perineural invasion: not identified
  - Tumor border: infiltrative
  - Stromal reaction: none
  - Intramural metastasis: absent
  - Precancerous lesion: not identified
(Note) One parathyroid gland is included in this specimen.</t>
    <phoneticPr fontId="2" type="noConversion"/>
  </si>
  <si>
    <t>2.5 x 2.0 x 0.6cm</t>
  </si>
  <si>
    <t>grade 2 (minimal response)</t>
  </si>
  <si>
    <t>McKewon operation + 3-field LN dissection + MRND (lvl II,IV,V,VI)</t>
    <phoneticPr fontId="2" type="noConversion"/>
  </si>
  <si>
    <t>eso. mass &amp; gross LNs</t>
  </si>
  <si>
    <t>left (upper-paraesophageal vs SCN), 2L, 2R, 4R, 4L</t>
    <phoneticPr fontId="2" type="noConversion"/>
  </si>
  <si>
    <t>유제원</t>
    <phoneticPr fontId="2" type="noConversion"/>
  </si>
  <si>
    <t>SNUH_147</t>
  </si>
  <si>
    <t>Esophagus, McKeown operation;
1. No residual tumor (ypT0)
- Neoadjuvant treatment: chemoradiation therapy. 
- Tumor regression grade: grade 0 (complete regression)
2. METASTATIC SQUAMOUS CELL CARCINOMA, residual in one out of 39 lymph nodes
- Number of metastatic lymph nodes: 1
- Number of examined lymph nodes: 39
  (LN#2L, 0/0; LN#4L, 0/2; LN#5, 0/2; LN#7, 0/4; LN#8L, 0/6; LN#8M, 0/0; LN#16, 0/9; LN#17, 0/6; LN#18, 0/4; lt.level 4, 0/5; lt. level 6, 1/1; "Rt. recurrent laryngeal node", 0/0)
- ypN stage (AJCC 7th): ypN1, metastasis in 1-2 regional lymph nodes
Note) Histopathologic mapping procedure was performed.</t>
    <phoneticPr fontId="2" type="noConversion"/>
  </si>
  <si>
    <t>mid-esophageal mass / gross LNs (1L, 2R, 4R, 5) including mediastinal LN</t>
    <phoneticPr fontId="2" type="noConversion"/>
  </si>
  <si>
    <t>left (upper paratracheal vs SCN), 2R, 5</t>
    <phoneticPr fontId="2" type="noConversion"/>
  </si>
  <si>
    <t>cT1bN2M0</t>
    <phoneticPr fontId="2" type="noConversion"/>
  </si>
  <si>
    <t>25-29</t>
    <phoneticPr fontId="2" type="noConversion"/>
  </si>
  <si>
    <t>최익재</t>
    <phoneticPr fontId="2" type="noConversion"/>
  </si>
  <si>
    <t>SNUH_145</t>
  </si>
  <si>
    <r>
      <t>recurrent aspiration pneumonia</t>
    </r>
    <r>
      <rPr>
        <sz val="10"/>
        <color theme="1"/>
        <rFont val="돋움"/>
        <family val="3"/>
        <charset val="129"/>
      </rPr>
      <t>로</t>
    </r>
    <r>
      <rPr>
        <sz val="10"/>
        <color theme="1"/>
        <rFont val="Arial"/>
        <family val="2"/>
      </rPr>
      <t xml:space="preserve"> </t>
    </r>
    <r>
      <rPr>
        <sz val="10"/>
        <color theme="1"/>
        <rFont val="돋움"/>
        <family val="3"/>
        <charset val="129"/>
      </rPr>
      <t>내내</t>
    </r>
    <r>
      <rPr>
        <sz val="10"/>
        <color theme="1"/>
        <rFont val="Arial"/>
        <family val="2"/>
      </rPr>
      <t xml:space="preserve"> poor function</t>
    </r>
    <r>
      <rPr>
        <sz val="10"/>
        <color theme="1"/>
        <rFont val="돋움"/>
        <family val="3"/>
        <charset val="129"/>
      </rPr>
      <t>이었다</t>
    </r>
    <r>
      <rPr>
        <sz val="10"/>
        <color theme="1"/>
        <rFont val="Arial"/>
        <family val="2"/>
      </rPr>
      <t>.</t>
    </r>
    <phoneticPr fontId="2" type="noConversion"/>
  </si>
  <si>
    <t>lung (multiple)</t>
    <phoneticPr fontId="2" type="noConversion"/>
  </si>
  <si>
    <t>Esophagus, Mckeown operation:
 No residual tumor 
  - Neoadjuvant treatment: yes (chemoradiation therapy) status
      (S12-59685: squamous cell carcinoma, 
                   moderately differentiated)
  - Tumor regression grade: grade 0 (complete response)
  - Depth of invasion (AJCC 7th ed.):
      No residual tumor (ypT0)
  - Surgical margin: free from carcinoma
  - Lymph node: no metastasis in 50 lymph nodes (ypN0)
     (LN#1L (see note), 0/0; LN#2L, 0/5; LN#4L, 0/2; LN#5, 0/5; 
      LN#7, 0/3; LN#8L, 0/0; LN#8M, 0/1; LN#10L, 0/3; 
      LN#16, 0/0; LN#17, 0/10; LN#18, 0/3; LN#19, 0/3; 
      LN#20, 0/3; left level #4 LN, 0/3; right gastric LN, 0/2; 
      right recurrent laryngeal  LN, 0/7)
  - Lymphatic invasion: not identified
  - Venous invasion: not identified
  - Perineural invasion: not identified
  - Associated findings: 
     low grade squamous dysplasia, 0.3cm, proximal 2.8cm, from GE junction 
Tissue labeled "pleura", excision: 
 No tumor involvement
(Note) Parathyroid gland tissue is included ("LN 1L")</t>
    <phoneticPr fontId="2" type="noConversion"/>
  </si>
  <si>
    <t>McKeown operation + Total 3 field LN dissection</t>
    <phoneticPr fontId="2" type="noConversion"/>
  </si>
  <si>
    <t>Esophageal mass, gross node</t>
  </si>
  <si>
    <t>right and left upper paratracheal LNs</t>
    <phoneticPr fontId="2" type="noConversion"/>
  </si>
  <si>
    <t>cT3N1M1 (lung)</t>
    <phoneticPr fontId="2" type="noConversion"/>
  </si>
  <si>
    <r>
      <t>neoadj (for palliation</t>
    </r>
    <r>
      <rPr>
        <sz val="10"/>
        <color theme="1"/>
        <rFont val="돋움"/>
        <family val="3"/>
        <charset val="129"/>
      </rPr>
      <t>이라는</t>
    </r>
    <r>
      <rPr>
        <sz val="10"/>
        <color theme="1"/>
        <rFont val="Arial"/>
        <family val="2"/>
      </rPr>
      <t xml:space="preserve"> </t>
    </r>
    <r>
      <rPr>
        <sz val="10"/>
        <color theme="1"/>
        <rFont val="돋움"/>
        <family val="3"/>
        <charset val="129"/>
      </rPr>
      <t>언급</t>
    </r>
    <r>
      <rPr>
        <sz val="10"/>
        <color theme="1"/>
        <rFont val="Arial"/>
        <family val="2"/>
      </rPr>
      <t xml:space="preserve"> </t>
    </r>
    <r>
      <rPr>
        <sz val="10"/>
        <color theme="1"/>
        <rFont val="돋움"/>
        <family val="3"/>
        <charset val="129"/>
      </rPr>
      <t>있음</t>
    </r>
    <r>
      <rPr>
        <sz val="10"/>
        <color theme="1"/>
        <rFont val="Arial"/>
        <family val="2"/>
      </rPr>
      <t>)</t>
    </r>
    <phoneticPr fontId="2" type="noConversion"/>
  </si>
  <si>
    <r>
      <t>Lung metastasis</t>
    </r>
    <r>
      <rPr>
        <sz val="10"/>
        <color theme="1"/>
        <rFont val="돋움"/>
        <family val="3"/>
        <charset val="129"/>
      </rPr>
      <t>로</t>
    </r>
    <r>
      <rPr>
        <sz val="10"/>
        <color theme="1"/>
        <rFont val="Arial"/>
        <family val="2"/>
      </rPr>
      <t xml:space="preserve"> M1</t>
    </r>
    <r>
      <rPr>
        <sz val="10"/>
        <color theme="1"/>
        <rFont val="돋움"/>
        <family val="3"/>
        <charset val="129"/>
      </rPr>
      <t>이었던</t>
    </r>
    <r>
      <rPr>
        <sz val="10"/>
        <color theme="1"/>
        <rFont val="Arial"/>
        <family val="2"/>
      </rPr>
      <t xml:space="preserve"> </t>
    </r>
    <r>
      <rPr>
        <sz val="10"/>
        <color theme="1"/>
        <rFont val="돋움"/>
        <family val="3"/>
        <charset val="129"/>
      </rPr>
      <t>것이라</t>
    </r>
    <r>
      <rPr>
        <sz val="10"/>
        <color theme="1"/>
        <rFont val="Arial"/>
        <family val="2"/>
      </rPr>
      <t xml:space="preserve"> </t>
    </r>
    <r>
      <rPr>
        <sz val="10"/>
        <color theme="1"/>
        <rFont val="돋움"/>
        <family val="3"/>
        <charset val="129"/>
      </rPr>
      <t>경우에</t>
    </r>
    <r>
      <rPr>
        <sz val="10"/>
        <color theme="1"/>
        <rFont val="Arial"/>
        <family val="2"/>
      </rPr>
      <t xml:space="preserve"> </t>
    </r>
    <r>
      <rPr>
        <sz val="10"/>
        <color theme="1"/>
        <rFont val="돋움"/>
        <family val="3"/>
        <charset val="129"/>
      </rPr>
      <t>따라서는</t>
    </r>
    <r>
      <rPr>
        <sz val="10"/>
        <color theme="1"/>
        <rFont val="Arial"/>
        <family val="2"/>
      </rPr>
      <t xml:space="preserve"> </t>
    </r>
    <r>
      <rPr>
        <sz val="10"/>
        <color theme="1"/>
        <rFont val="돋움"/>
        <family val="3"/>
        <charset val="129"/>
      </rPr>
      <t>포함을</t>
    </r>
    <r>
      <rPr>
        <sz val="10"/>
        <color theme="1"/>
        <rFont val="Arial"/>
        <family val="2"/>
      </rPr>
      <t xml:space="preserve"> </t>
    </r>
    <r>
      <rPr>
        <sz val="10"/>
        <color theme="1"/>
        <rFont val="돋움"/>
        <family val="3"/>
        <charset val="129"/>
      </rPr>
      <t>재고할</t>
    </r>
    <r>
      <rPr>
        <sz val="10"/>
        <color theme="1"/>
        <rFont val="Arial"/>
        <family val="2"/>
      </rPr>
      <t xml:space="preserve"> </t>
    </r>
    <r>
      <rPr>
        <sz val="10"/>
        <color theme="1"/>
        <rFont val="돋움"/>
        <family val="3"/>
        <charset val="129"/>
      </rPr>
      <t>여지도</t>
    </r>
    <r>
      <rPr>
        <sz val="10"/>
        <color theme="1"/>
        <rFont val="Arial"/>
        <family val="2"/>
      </rPr>
      <t>.</t>
    </r>
    <phoneticPr fontId="2" type="noConversion"/>
  </si>
  <si>
    <t>김인덕</t>
    <phoneticPr fontId="2" type="noConversion"/>
  </si>
  <si>
    <t>SNUH_142</t>
  </si>
  <si>
    <t>stable</t>
    <phoneticPr fontId="2" type="noConversion"/>
  </si>
  <si>
    <t>Esophagus and stomach, Ivor-lewis operation:
 SQUAMOUS CELL CARCINOMA, well differentiated, residual
  - Neoadjuvant treatment: yes, chemoradiation therapy status
     (S13-190: squamous cell carcinoma)
  - Tumor regression grade: grade 1 (moderate response)
  - Gross type: ulceroinfiltrative
  - Location of tumor: middle thoracic (11.5cm from GE junction)
  - Size of tumor: 0.4 x 0.4 x 0.05cm
  - Depth of invasion (AJCC 7th ed.):
     invades submucosa (ypT1b)
  - Surgical margin: free from carcinoma
     (safety margin: proximal, 1.5cm; distal, 20.0cm;
       radial, 4.5mm)
  - Lymph node: metastasis in one out of 44 lymph nodes (ypN1)
     (LN#L3, 0/6; LN#L4, 0/10; LN#L5, 1/4; LN#6, 0/7;
      LN#7, 0/0; LN#8M, 0/4; LN#8L, 0/3; LN#16, 0/2;
      LN#17, 0/4; "LN#1", 0/0; Rt. recurrent laryngeal LN, 0/2;
      Lt. recurrent laryngeal LN, 0/2)
  - Lymphatic invasion: not identified
  - Venous invasion: not identified
  - Perineural invasion: not identified
  - Tumor border: infiltrative
  - Stromal reaction: none
  - Intramural metastasis: absent
  - Precancerous lesion: not identified</t>
    <phoneticPr fontId="2" type="noConversion"/>
  </si>
  <si>
    <t>middle thoracic</t>
    <phoneticPr fontId="2" type="noConversion"/>
  </si>
  <si>
    <t>sqcc wd</t>
    <phoneticPr fontId="2" type="noConversion"/>
  </si>
  <si>
    <t>0.4 x 0.4 x 0.05cm</t>
  </si>
  <si>
    <t>Robot assisted McKeown operation</t>
  </si>
  <si>
    <t>med, Lt SCL</t>
    <phoneticPr fontId="2" type="noConversion"/>
  </si>
  <si>
    <t>Esophageal mass, Rt. SCL LN</t>
  </si>
  <si>
    <t>left highest mediastinal, left SCN LN</t>
    <phoneticPr fontId="2" type="noConversion"/>
  </si>
  <si>
    <t>definitive -&gt; neoadj</t>
    <phoneticPr fontId="2" type="noConversion"/>
  </si>
  <si>
    <r>
      <t>Aim: definitive RT</t>
    </r>
    <r>
      <rPr>
        <sz val="10"/>
        <color theme="1"/>
        <rFont val="돋움"/>
        <family val="3"/>
        <charset val="129"/>
      </rPr>
      <t>로</t>
    </r>
    <r>
      <rPr>
        <sz val="10"/>
        <color theme="1"/>
        <rFont val="Arial"/>
        <family val="2"/>
      </rPr>
      <t xml:space="preserve"> </t>
    </r>
    <r>
      <rPr>
        <sz val="10"/>
        <color theme="1"/>
        <rFont val="돋움"/>
        <family val="3"/>
        <charset val="129"/>
      </rPr>
      <t>시작했다가</t>
    </r>
    <r>
      <rPr>
        <sz val="10"/>
        <color theme="1"/>
        <rFont val="Arial"/>
        <family val="2"/>
      </rPr>
      <t xml:space="preserve">, </t>
    </r>
    <r>
      <rPr>
        <sz val="10"/>
        <color theme="1"/>
        <rFont val="돋움"/>
        <family val="3"/>
        <charset val="129"/>
      </rPr>
      <t>도중에</t>
    </r>
    <r>
      <rPr>
        <sz val="10"/>
        <color theme="1"/>
        <rFont val="Arial"/>
        <family val="2"/>
      </rPr>
      <t xml:space="preserve"> neoadjuvant</t>
    </r>
    <r>
      <rPr>
        <sz val="10"/>
        <color theme="1"/>
        <rFont val="돋움"/>
        <family val="3"/>
        <charset val="129"/>
      </rPr>
      <t>로</t>
    </r>
    <r>
      <rPr>
        <sz val="10"/>
        <color theme="1"/>
        <rFont val="Arial"/>
        <family val="2"/>
      </rPr>
      <t xml:space="preserve"> </t>
    </r>
    <r>
      <rPr>
        <sz val="10"/>
        <color theme="1"/>
        <rFont val="돋움"/>
        <family val="3"/>
        <charset val="129"/>
      </rPr>
      <t>바꾸어서</t>
    </r>
    <r>
      <rPr>
        <sz val="10"/>
        <color theme="1"/>
        <rFont val="Arial"/>
        <family val="2"/>
      </rPr>
      <t xml:space="preserve"> 50.4Gy/28fx</t>
    </r>
    <r>
      <rPr>
        <sz val="10"/>
        <color theme="1"/>
        <rFont val="돋움"/>
        <family val="3"/>
        <charset val="129"/>
      </rPr>
      <t>까지</t>
    </r>
    <r>
      <rPr>
        <sz val="10"/>
        <color theme="1"/>
        <rFont val="Arial"/>
        <family val="2"/>
      </rPr>
      <t xml:space="preserve"> </t>
    </r>
    <r>
      <rPr>
        <sz val="10"/>
        <color theme="1"/>
        <rFont val="돋움"/>
        <family val="3"/>
        <charset val="129"/>
      </rPr>
      <t>실시하였다</t>
    </r>
    <r>
      <rPr>
        <sz val="10"/>
        <color theme="1"/>
        <rFont val="Arial"/>
        <family val="2"/>
      </rPr>
      <t>. (</t>
    </r>
    <r>
      <rPr>
        <sz val="10"/>
        <color theme="1"/>
        <rFont val="돋움"/>
        <family val="3"/>
        <charset val="129"/>
      </rPr>
      <t>포함하기로</t>
    </r>
    <r>
      <rPr>
        <sz val="10"/>
        <color theme="1"/>
        <rFont val="Arial"/>
        <family val="2"/>
      </rPr>
      <t xml:space="preserve"> </t>
    </r>
    <r>
      <rPr>
        <sz val="10"/>
        <color theme="1"/>
        <rFont val="돋움"/>
        <family val="3"/>
        <charset val="129"/>
      </rPr>
      <t>결정</t>
    </r>
    <r>
      <rPr>
        <sz val="10"/>
        <color theme="1"/>
        <rFont val="Arial"/>
        <family val="2"/>
      </rPr>
      <t>)</t>
    </r>
    <phoneticPr fontId="2" type="noConversion"/>
  </si>
  <si>
    <t>김영진</t>
    <phoneticPr fontId="2" type="noConversion"/>
  </si>
  <si>
    <t>SNUH_141</t>
  </si>
  <si>
    <t xml:space="preserve">Esophagus and stomach, Ivor-Lewis operation:
SQUAMOUS CELL CARCINOMA, well differentiated (G1), residual, multifocal
- Neoadjuvant treatment: chemoradiation therapy 
- Tumor regression grade: grade 1 (moderate regression)
- Gross type: ulceroinfiltrative
- Location of tumor: lower thoracic
- Size of tumor: up to 1.1 x 0.4 x 0.3 cm. 
- Depth of invasion: invades muscularis propria
- ypT stage (AJCC 7th): ypT2
- Surgical margin: free from carcinoma
- Safety margin: proximal margin, 2.9 cm; distal margin, 12.6 cm; radial margin, 4 mm
- Number of metastatic lymph nodes: 0
- Number of examined lymph nodes: 37
  (peritumoral LN, 0/11; LN#4L&amp;2L, 0/4; LN#7, 0/10; LN#8M, 0/1; LN#17, 0/5; LN#18, 0/2; Rt. recurrent laryngeal LN, 0/4)
- ypN stage (AJCC 7th): ypN0, no metastasis in regional lymph nodes
- Lymphatic invasion: not identified 
- Venous invasion: not identified 
- Perineural invasion: not identified 
- Tumor border: infiltrative
- Stromal reaction: none
- Intramural metastasis: not identified
- Precancerous lesion: not identified
- Associated lesion: ulceration
- Additional lesion: Leiomyoma, esophagus (size: 0.2 x 0.2 x 0.2 cm) </t>
    <phoneticPr fontId="2" type="noConversion"/>
  </si>
  <si>
    <t>1.1 x 0.4 x 0.3 cm</t>
  </si>
  <si>
    <t>Robot assisted Ivor Lewis operation + 2-field LN dissection</t>
    <phoneticPr fontId="2" type="noConversion"/>
  </si>
  <si>
    <t>med, abd no elective</t>
    <phoneticPr fontId="2" type="noConversion"/>
  </si>
  <si>
    <t>eso. mass / 2R, perigastric LN</t>
    <phoneticPr fontId="2" type="noConversion"/>
  </si>
  <si>
    <t>right upper paratracheal, left gastric LN</t>
    <phoneticPr fontId="2" type="noConversion"/>
  </si>
  <si>
    <t>이동규</t>
    <phoneticPr fontId="2" type="noConversion"/>
  </si>
  <si>
    <t>SNUH_140</t>
  </si>
  <si>
    <t>NED, 2nd oropharyngeal ca</t>
    <phoneticPr fontId="2" type="noConversion"/>
  </si>
  <si>
    <t>Esophagus and stomach, Ivor-Lewis operation:
Squamous dysplasia, high gade, residual with
- Neoadjuvant treatment: chemoradiation therapy. 
  (S15-31108: SQUAMOUS CELL CARCINOMA, moderately differentiated)
- Tumor regression grade: grade 0 (complete regression)
- Extent of lesion: 3.6 x 2.6 x 0.1 cm 
- ypT stage (AJCC 7th): ypT0
- Surgical margin: free from carcinoma, involved proximal resection margin by high grade dysplasia (Fro#1)
- Safety margin: no redisual carcinoma 
- Number of metastatic lymph nodes: 0
- Number of examined lymph nodes: 49
  (LN# 2L &amp; 4L, 0/1; LN# 5, 0/2; LN# 7, 0/7; LN# 8M, 0/3; LN# 17, 0/13; LN# 18, 0/2; LN# 19, 0/3; Rt. LN# 4, 0/11; Lt. LN# 3, 0/1; Lt. LN# 4, 0/2; Rt. Recurrent laryngeal LN, 0/4; mesentery node, 0/0) (see note)
- ypN stage (AJCC 7th): ypN0
- Lymphatic invasion: not identified 
- Venous invasion: not identified 
- Perineural invasion: not identified 
Tissue labeled "diaphragm", excision:
No tumor involvement
Note) Granulomatous reaction against the necrotic tumor cells are found in several lymph nodes.</t>
    <phoneticPr fontId="2" type="noConversion"/>
  </si>
  <si>
    <t>Robot-assisted Ivor-Lewis operation + 3-field LN dissection</t>
    <phoneticPr fontId="2" type="noConversion"/>
  </si>
  <si>
    <r>
      <t>med (elective</t>
    </r>
    <r>
      <rPr>
        <sz val="10"/>
        <color theme="1"/>
        <rFont val="돋움"/>
        <family val="3"/>
        <charset val="129"/>
      </rPr>
      <t>는</t>
    </r>
    <r>
      <rPr>
        <sz val="10"/>
        <color theme="1"/>
        <rFont val="Arial"/>
        <family val="2"/>
      </rPr>
      <t xml:space="preserve"> 2R </t>
    </r>
    <r>
      <rPr>
        <sz val="10"/>
        <color theme="1"/>
        <rFont val="돋움"/>
        <family val="3"/>
        <charset val="129"/>
      </rPr>
      <t>근처만</t>
    </r>
    <r>
      <rPr>
        <sz val="10"/>
        <color theme="1"/>
        <rFont val="Arial"/>
        <family val="2"/>
      </rPr>
      <t>), abd elective</t>
    </r>
    <phoneticPr fontId="2" type="noConversion"/>
  </si>
  <si>
    <r>
      <t>med, elective</t>
    </r>
    <r>
      <rPr>
        <sz val="10"/>
        <color theme="1"/>
        <rFont val="돋움"/>
        <family val="3"/>
        <charset val="129"/>
      </rPr>
      <t>는</t>
    </r>
    <r>
      <rPr>
        <sz val="10"/>
        <color theme="1"/>
        <rFont val="Arial"/>
        <family val="2"/>
      </rPr>
      <t xml:space="preserve"> 2R </t>
    </r>
    <r>
      <rPr>
        <sz val="10"/>
        <color theme="1"/>
        <rFont val="돋움"/>
        <family val="3"/>
        <charset val="129"/>
      </rPr>
      <t>근처만</t>
    </r>
    <phoneticPr fontId="2" type="noConversion"/>
  </si>
  <si>
    <t>eso. mass (distal) / 2R, celiac LN</t>
    <phoneticPr fontId="2" type="noConversion"/>
  </si>
  <si>
    <t>2R, celiac axis</t>
    <phoneticPr fontId="2" type="noConversion"/>
  </si>
  <si>
    <t>최경미</t>
    <phoneticPr fontId="2" type="noConversion"/>
  </si>
  <si>
    <t>SNUH_139</t>
  </si>
  <si>
    <r>
      <t>Esophagus, Ivor-Lewis operation:
SQUAMOUS CELL CARCINOMA, poorly differentiated
- Post-chemoradiation therapy status (S11-10332) 
- Gross type: ulceroinfiltrative
- Location of tumor: lower thoracic
- Size: 1.8 x 3 x 0.6cm
- Depth of invasion: 
    Tumor invades adventitia (pT3)
- Resection margin: free from carcinoma
    safety margin: proximal, 7.5</t>
    </r>
    <r>
      <rPr>
        <sz val="10"/>
        <color theme="1"/>
        <rFont val="돋움"/>
        <family val="3"/>
        <charset val="129"/>
      </rPr>
      <t>㎝</t>
    </r>
    <r>
      <rPr>
        <sz val="10"/>
        <color theme="1"/>
        <rFont val="Arial"/>
        <family val="2"/>
      </rPr>
      <t>; distal, 2.8</t>
    </r>
    <r>
      <rPr>
        <sz val="10"/>
        <color theme="1"/>
        <rFont val="돋움"/>
        <family val="3"/>
        <charset val="129"/>
      </rPr>
      <t>㎝</t>
    </r>
    <r>
      <rPr>
        <sz val="10"/>
        <color theme="1"/>
        <rFont val="Arial"/>
        <family val="2"/>
      </rPr>
      <t>; 
     radial, 0.2cm
- Lymph node metastasis: 
    metastasis in one out of 36 regional lymph nodes (pN1)
     (LN#4L, 0/1; LN#7, 0/2; LN#10, 0/2; peritumoral LN, 0/7;
      perigastric LN, 0/4; upper esophageal LN, 0/0;
      mid esophageal LN, 0/2; 
      lower esophageal LN(including Fro#4), 0/6;
      celiac LN, 0/1; cardiac LN, 0/0; common hepatic LN, 0/1;
      Lt. gastric LN, 1/4; azygous LN, 0/0;
      Lt. recurrent laryngeal LN(including Fro#3), 0/2;
      Rt. recurrent laryngeal LN(Fro#2), 0/1; 
      Lt. lower para-esophageal LN(Fro#4), 0/3)
- Lymphatic invasion: present, mural, peritumoral
- Venous invasion: not identified
- Perineural invasion: not identified
- Tumor border: infiltrative
- Stromal reaction: none
- Intramural metastasis: absent
- Precancerous lesion: not identified
- Associated findings: none</t>
    </r>
    <phoneticPr fontId="2" type="noConversion"/>
  </si>
  <si>
    <t>1.8 x 3 x 0.6cm</t>
  </si>
  <si>
    <t>Esophageal reconstruction after resection with Stomach (Ivor-Lewis), 2-field LN dissectoin</t>
    <phoneticPr fontId="2" type="noConversion"/>
  </si>
  <si>
    <t>med/abd no elective</t>
    <phoneticPr fontId="2" type="noConversion"/>
  </si>
  <si>
    <t>2-4.5</t>
    <phoneticPr fontId="2" type="noConversion"/>
  </si>
  <si>
    <t>esophageal mass, celiac node</t>
  </si>
  <si>
    <t>celiac LN</t>
    <phoneticPr fontId="2" type="noConversion"/>
  </si>
  <si>
    <t>38-40</t>
    <phoneticPr fontId="2" type="noConversion"/>
  </si>
  <si>
    <t>주병환</t>
    <phoneticPr fontId="2" type="noConversion"/>
  </si>
  <si>
    <t>SNUH_135</t>
  </si>
  <si>
    <t>neck (including SCL), mediastinal, intra-abdominal cavity LN</t>
    <phoneticPr fontId="2" type="noConversion"/>
  </si>
  <si>
    <t>neck, mediastinal, intra-abdominal cavity LN</t>
    <phoneticPr fontId="2" type="noConversion"/>
  </si>
  <si>
    <t>recurred</t>
    <phoneticPr fontId="2" type="noConversion"/>
  </si>
  <si>
    <r>
      <t>Esophagus, Ivor-Lewis operation:
SQUAMOUS CELL CARCINOMA, well differentiated
- Post neoadjuvant chemoradiation therapy status 
   (C11-447: squamous cell carcinoma, well differentiated)
- Gross type: diffuse infiltrative
- Location of tumor: lower thoracic
- Size: 5 x 3.5 x 1cm
- Depth of invasion: tumor invades adventitia (pT3)
- Resection margin: free from carcinoma
    safety margin: proximal, 3.5</t>
    </r>
    <r>
      <rPr>
        <sz val="10"/>
        <color theme="1"/>
        <rFont val="돋움"/>
        <family val="3"/>
        <charset val="129"/>
      </rPr>
      <t>㎝</t>
    </r>
    <r>
      <rPr>
        <sz val="10"/>
        <color theme="1"/>
        <rFont val="Arial"/>
        <family val="2"/>
      </rPr>
      <t>; distal, 5</t>
    </r>
    <r>
      <rPr>
        <sz val="10"/>
        <color theme="1"/>
        <rFont val="돋움"/>
        <family val="3"/>
        <charset val="129"/>
      </rPr>
      <t>㎝</t>
    </r>
    <r>
      <rPr>
        <sz val="10"/>
        <color theme="1"/>
        <rFont val="Arial"/>
        <family val="2"/>
      </rPr>
      <t>; radial, 150</t>
    </r>
    <r>
      <rPr>
        <sz val="10"/>
        <color theme="1"/>
        <rFont val="돋움"/>
        <family val="3"/>
        <charset val="129"/>
      </rPr>
      <t xml:space="preserve">㎛
</t>
    </r>
    <r>
      <rPr>
        <sz val="10"/>
        <color theme="1"/>
        <rFont val="Arial"/>
        <family val="2"/>
      </rPr>
      <t>- Lymph node metastasis: 
    metastasis in seven out of 37 regional lymph nodes (pN3)
     (LN#1R, 1/1; LN#1L, 1/1; LN#2L, 0/0; LN#4R, 4/7;
      LN#4L, 0/6; LN#7, 0/2; LN#9L, 0/5; LN#10, 0/1;
      peritumoral LN, 1/6; perigastric LN, 0/5;
      common hepatic + celiac LN, 0/3)
- Lymphatic invasion: present, extramural, peritumoral
- Venous invasion: not identified
- Perineural invasion: present, extramural, peritumoral 
- Tumor border: infiltrative
- Stromal reaction: none
- Intramural metastasis: absent
- Precancerous lesion: not identified
- Associated findings: none
Tissue labeled "pericardium", excision:
 Fibroadipose tissue with 
  no tumor involvement
Tissue labeled "LN#4R (Fro#1 &amp; Fro#2)", biopsy:
 Fibroadipose tissue (see note) with 
  metastatic squamous cell carcinoma
(NOTE) There is no evidence of lymphoid tissue</t>
    </r>
    <phoneticPr fontId="2" type="noConversion"/>
  </si>
  <si>
    <t>5 x 3.5 x 1cm</t>
  </si>
  <si>
    <t>ypT3N3</t>
    <phoneticPr fontId="2" type="noConversion"/>
  </si>
  <si>
    <t>Ivor Lewis operation, total 2 field lymph node dissection</t>
  </si>
  <si>
    <t>45+5.4</t>
    <phoneticPr fontId="2" type="noConversion"/>
  </si>
  <si>
    <t>esophageal mass, 4R, perigastric mass</t>
  </si>
  <si>
    <t>Lt gastric LN, 4R</t>
    <phoneticPr fontId="2" type="noConversion"/>
  </si>
  <si>
    <t>배상근</t>
    <phoneticPr fontId="2" type="noConversion"/>
  </si>
  <si>
    <t>SNUH_134</t>
  </si>
  <si>
    <t>Rt SCL --&gt; lung --&gt; Rt neck, 10R, 11B --&gt; pleural seeding</t>
    <phoneticPr fontId="2" type="noConversion"/>
  </si>
  <si>
    <t>lung --&gt; Rt neck, 10R, 11B</t>
  </si>
  <si>
    <t>op --&gt; pall chemo</t>
    <phoneticPr fontId="2" type="noConversion"/>
  </si>
  <si>
    <t>distal --&gt; out-field / distal</t>
    <phoneticPr fontId="2" type="noConversion"/>
  </si>
  <si>
    <t>Esophagus and stomach, Ivor Lewis operation:
 No residual tumor (ypT0) with
  1) post biopsy and chemoradiation status 
      (S10-42097: squamous cell carcinoma)
  2) clear proximal and distal resection margins
  3) metastasis in two out of 103 lymph nodes (ypN1)
      (periesophageal LN, 0/16; LN#2, 0/11;
       LN#4, 0/26; LN#7, 0/9; Rt level III LN, 0/5; 
       Rt level IV LN, 2/28; Rt level VI LN, 0/0;
       Rt remnant LN, 0/3; Lt remnant LN, 0/5)
  4) fibrosis, inflammation and reactive atypia of submucosal glands 
       associated with prior chemoradiation</t>
    <phoneticPr fontId="2" type="noConversion"/>
  </si>
  <si>
    <t>Ivor Lewis operation, total 2 field LN dissection</t>
  </si>
  <si>
    <t>cisplatin</t>
    <phoneticPr fontId="2" type="noConversion"/>
  </si>
  <si>
    <t>wCDDP</t>
    <phoneticPr fontId="2" type="noConversion"/>
  </si>
  <si>
    <t>Esophageal mass / 2R, 4R LNs</t>
    <phoneticPr fontId="2" type="noConversion"/>
  </si>
  <si>
    <t>2R, 4R</t>
    <phoneticPr fontId="2" type="noConversion"/>
  </si>
  <si>
    <t>박남훈</t>
    <phoneticPr fontId="2" type="noConversion"/>
  </si>
  <si>
    <t>SNUH_132</t>
  </si>
  <si>
    <t>Esophagus, Ivor-Lewis operation:
 SQUAMOUS CELL CARCINOMA, well differentiated, residual 
  (therapeutic efficiency: near total regression) 
  - Post neoadjuvant chemoradiation status 
     (S08-49490: invasive squamous cell carcinoma)
  - Gross type: ulceroinfiltrative
  - Location of tumor: lower thoracic (4.5cm from GE junction) 
  - Size of tumor: 1.1 x 0.4 x 0.7cm 
  - Depth of invasion: invades adventitia (pT3)
  - Surgical margins: free from tumor
     safety margin: proximal, 10cm; distal, 7.3cm
                    radial margin, 0.3cm
  - Lymph node: no metastasis in 37 lymph nodes (pN0) 
     (periesophageal LN, 0/15; GC LN, 0/13; LN#1R, 0/1; 
      LN#4L, 0/1; hilar LN, 0/1; 
      right recurrent laryngeal LN, 0/3; right GEA LN, 0/3;
      LN#7 (Fro#1), 0/0) 
  - Angiolymphatic invasion: not identified
  - Venous invasion: not identified
  - Perineural invasion: not identified
  - Tumor border: infiltrative
  - Stromal reaction: not identified
  - Intramural metastasis; absent
  - Precancerous lesion: not identified
  - Associated findings: none
Tissue labeled "margin", biopsy: 
 Free of carcinoma</t>
    <phoneticPr fontId="2" type="noConversion"/>
  </si>
  <si>
    <t>lower thoracic</t>
    <phoneticPr fontId="2" type="noConversion"/>
  </si>
  <si>
    <t xml:space="preserve">1.1 x 0.4 x 0.7cm </t>
  </si>
  <si>
    <t>Unknown</t>
    <phoneticPr fontId="2" type="noConversion"/>
  </si>
  <si>
    <t>Extended Ivor Lewis operation</t>
  </si>
  <si>
    <t>med elective?</t>
    <phoneticPr fontId="2" type="noConversion"/>
  </si>
  <si>
    <t>2R, 4L</t>
    <phoneticPr fontId="2" type="noConversion"/>
  </si>
  <si>
    <t>25-35</t>
    <phoneticPr fontId="2" type="noConversion"/>
  </si>
  <si>
    <t>김평수</t>
    <phoneticPr fontId="2" type="noConversion"/>
  </si>
  <si>
    <t>SNUH_129</t>
  </si>
  <si>
    <t>Both adrenal gland, aortocaval LN, bone, cecum</t>
    <phoneticPr fontId="2" type="noConversion"/>
  </si>
  <si>
    <t>Esopahgus and stomach, esophagectomy:
SQUAMOUS CELL CARCINOMA, 
- Neoadjuvant treatment: chemoradiation therapy. 
- Tumor regression grade: grade 1 (moderate regression)
- Location of tumor: lower thoracic
- Size of tumor: 3.9 x 2.8 x 0.4 cm
- Gross type: ulceroinfiltrative
- Depth of invasion: invades muscularis propria
- Surgical margin: free from carcinoma
- Safety margin: proximal margin, 7.2 cm; distal margin, 3.5 cm; radial margin, 0.7 mm
- Number of metastatic lymph nodes: 8
- Number of examined lymph nodes: 42
  (LN#2l, 0/0 (see note2); LN#3p, 0/2; LN#4l, 0/0; LN#7, 1/8; LN#8l, 0/1; LN#8m, 0/0; LN#9r, 0/1; LN#9l, 0/2; LN#15, 0/1; LN#16, 0/0; LN#17, 5/6; LN#18, 0/1; LN#19, 0/1; LN#106r, 1/3; Lt. level3 LN, 0/5; Lt. level4 LN, 0/6; Rt. level4 LN, 1/4; Rt. level5 LN, 0/1; Rt. level6 LN, 0/0)
- Lymphatic invasion: not identified 
- Venous invasion: not identified 
- Perineural invasion: not identified 
- Tumor border: infiltrative
- Stromal reaction: none
- Intramural metastasis: not identified
- Precancerous lesion: not identified
Pathologic staging (AJCC 8th)
- pT category: ypT2, invades muscularis propria
- pN category: ypN3, metastasis in 7 or more regional lymph nodes
Note1) Histopathologic mapping procedure was performed.
Note2) Parathyroid tissue is included in "LN#2l".</t>
    <phoneticPr fontId="2" type="noConversion"/>
  </si>
  <si>
    <t>sqcc</t>
    <phoneticPr fontId="2" type="noConversion"/>
  </si>
  <si>
    <t>3.9 x 2.8 x 0.4 cm</t>
  </si>
  <si>
    <t>ypT2N3</t>
    <phoneticPr fontId="2" type="noConversion"/>
  </si>
  <si>
    <t xml:space="preserve">Robotic esophagectomy with 3 field LN dissection </t>
  </si>
  <si>
    <t>esophageal mass / gross LN</t>
    <phoneticPr fontId="2" type="noConversion"/>
  </si>
  <si>
    <t>right upper paratracheal area</t>
  </si>
  <si>
    <t>박창근</t>
    <phoneticPr fontId="2" type="noConversion"/>
  </si>
  <si>
    <t>SNUH_125</t>
  </si>
  <si>
    <t>Lt neck LN (including SCL) --&gt;axilla LN, abd</t>
    <phoneticPr fontId="2" type="noConversion"/>
  </si>
  <si>
    <t>anastomosis site, prevascular, 2R, axilla LN, abd --&gt; pall DP #3</t>
    <phoneticPr fontId="2" type="noConversion"/>
  </si>
  <si>
    <t>CCRT</t>
    <phoneticPr fontId="2" type="noConversion"/>
  </si>
  <si>
    <t>distal -&gt; in-field / out-field / distal</t>
    <phoneticPr fontId="2" type="noConversion"/>
  </si>
  <si>
    <t>Lt neck LN --&gt; anastomosis site, prevascular, 2R, axilla LN, abd</t>
    <phoneticPr fontId="2" type="noConversion"/>
  </si>
  <si>
    <t>Esophagus and stomach, McKeown operation:
SQUAMOUS CELL CARCINOMA, moderately differentiated (G2), residual
- Neoadjuvant treatment: chemoradiation therapy
- Tumor regression grade: grade 2 (minimal regression)
- Location of tumor: middle thoracic
- Size of tumor: 4.6 x 4.4 x 0.5 cm
- Gross type: diffuse infiltrative
- Depth of invasion: invades muscularis propria
- Surgical margin: free from carcinoma
- Safety margin: proximal margin, 7.5 cm; distal margin, 4.2 cm; radial margin, 6 mm
- Number of metastatic lymph nodes: 6
- Number of examined lymph nodes: 40
  (LN#2L, 0/0; LN#3P, 0/1; LN#4L, 0/0; LN#5, 0/4; LN#7, 0/2; LN#15, 0/0; LN#17, 0/0; LN#18, 1/2; LN#19,  0/0; LN#20, 1/1; LN#106R, 0/3; Rt. level#3, 0/3; Rt. level#4, 0/6; Lt. level#3, 1/7; Lt. level#4, 3/9; Lt. level#6, 0/1; perigastric, 0/1)
- Lymphatic invasion: not identified 
- Venous invasion: extramural, peritumoral
- Perineural invasion: not identified
- Tumor border: infiltrative
- Stromal reaction: none
- Intramural metastasis: not identified
- Precancerous lesion: not identified
Pathologic staging (AJCC 8th)
- pT category: ypT2, invades muscularis propria
- pN category: ypN2, metastasis in 3-6 regional lymph nodes
Tissue labelled "bronchial artery", excision: No tumor involvement</t>
    <phoneticPr fontId="2" type="noConversion"/>
  </si>
  <si>
    <t>4.6 x 4.4 x 0.5 cm</t>
  </si>
  <si>
    <t>ypT2N2</t>
    <phoneticPr fontId="2" type="noConversion"/>
  </si>
  <si>
    <t>Esophagectomy and cervical esophagogastrostomy (McKeown), Three field LN dissection</t>
    <phoneticPr fontId="2" type="noConversion"/>
  </si>
  <si>
    <t>med no elective</t>
    <phoneticPr fontId="2" type="noConversion"/>
  </si>
  <si>
    <t>eso. mass / metastatic LNs</t>
    <phoneticPr fontId="2" type="noConversion"/>
  </si>
  <si>
    <t>1L, 2R, 4B and 7</t>
  </si>
  <si>
    <t>강병계</t>
    <phoneticPr fontId="2" type="noConversion"/>
  </si>
  <si>
    <t>SNUH_124</t>
  </si>
  <si>
    <t>postop aspiration pneumonia</t>
    <phoneticPr fontId="2" type="noConversion"/>
  </si>
  <si>
    <t>Esophagus and stomach, esophagectomy:
SQUAMOUS CELL CARCINOMA, moderately differentiated (G2)
- Neoadjuvant treatment: chemoradiation therapy. 
- Tumor regression grade: 2 (partial response; residual cancer with evident tumor regression but more than single cells or rare small groups of cancer cells)
- Location of tumor: lower thoracic
- Size of tumor: 5.5 x 4.5 x 1.2 cm
- Gross type: ulceroinfiltrative
- Depth of invasion: invades adventitia
- Surgical margin: free from carcinoma
- Safety margin: proximal margin, 7.3 cm; distal margin, 5.0 cm; radial margin, 1 mm
- Number of metastatic lymph nodes: 2
- Number of examined lymph nodes: 40
  (peritumoral LN, 1/2; LN#7, 0/4; LN#2L, 0/1; LN#3P, 0/2; LN#4L, 0/2; LN#8L, 0/3; LN#8M, 1/1; LN#9L, 0/1; LN#16, 0/4; LN#17, 0/6; LN#18, 0/4; LN#19, 0/8; LN#106R, 0/2)
- Lymphatic invasion: not identified 
- Venous invasion: not identified 
- Perineural invasion: not identified 
- Tumor border: infiltrative
- Stromal reaction: none
- Intramural metastasis: not identified
- Precancerous lesion: not identified
Pathologic staging (AJCC 8th)
- pT category: ypT3, invades adventitia
- pN category: ypN1, metastasis in 1-2 regional lymph nodes
Tissue labelled "anastomosis site", excision: No tumor involvement</t>
    <phoneticPr fontId="2" type="noConversion"/>
  </si>
  <si>
    <t>5.5 x 4.5 x 1.2 cm</t>
  </si>
  <si>
    <t>Esophagectomy with 2 field LN dissection</t>
    <phoneticPr fontId="2" type="noConversion"/>
  </si>
  <si>
    <t>eso. mass / perigastric LN</t>
    <phoneticPr fontId="2" type="noConversion"/>
  </si>
  <si>
    <t>lower paraesophageal LN in EUS</t>
    <phoneticPr fontId="2" type="noConversion"/>
  </si>
  <si>
    <t>서대현</t>
    <phoneticPr fontId="2" type="noConversion"/>
  </si>
  <si>
    <t>SNUH_123</t>
  </si>
  <si>
    <t>brain -&gt; lung, liver</t>
    <phoneticPr fontId="2" type="noConversion"/>
  </si>
  <si>
    <t>lung, liver --&gt; docetaxel, nivolumab</t>
    <phoneticPr fontId="2" type="noConversion"/>
  </si>
  <si>
    <t>craniotomy, WBRT</t>
    <phoneticPr fontId="2" type="noConversion"/>
  </si>
  <si>
    <t>Esophagus and stomach, esophagectomy: 
SQUAMOUS CELL CARCINOMA, moderately differentiated (G2), residual
- Neoadjuvant treatment: chemoradiation therapy. 
- Tumor regression grade: grade 1 (moderate regression)
- Location of tumor: lower thoracic
- Size of tumor: 1.2 x 0.4 x 0.5 cm
- Gross type: ulceroinfiltrative
- Depth of invasion: invades adventitia
- Surgical margin: free from carcinoma 
- Safety margin: proximal margin, 4.0 cm; distal margin, 5.0 cm; radial margin, 1 mm
- Number of metastatic lymph nodes: 6
- Number of examined lymph nodes: 54
  (peritumoral LN, 0/1; Greater omentum, 0/0; LN#2L, 0/6; LN#3P, 0/2; LN#4L, 0/1; LN#5, 0/4; LN#7, 1/2; LN#8L, 1/3; LN#8M, 0/2; LN#9L, 0/1; LN#10R, 0/1; LN#16, 1/4; LN#17, 1/7; LN#19, 1/1; LN#106R, 0/3; LN#Rt. Level 3, 0/6; LN#Lt. Level 3, 0/3; LN#Rt. Level 4, 1/3; LN#Lt. Level 4, 0/1; LN#20, 0/3; Thoracic duct LN, 0/0)
- Lymphatic invasion: not identified 
- Venous invasion: not identified 
- Perineural invasion: not identified 
- Tumor border: infiltrative
- Stromal reaction: none
- Intramural metastasis: not identified
- Precancerous lesion: not identified
Pathologic staging (AJCC 8th)
- pT category: ypT3, invades adventitia
- pN category: ypN2, metastasis in 3-6 regional lymph nodes
Omentum, omentectomy: No tumor involvement
Tissue labelled "bronchial artery", excision: No tumor involvement
Esophagus and stomach, esophagectomy: 
SQUAMOUS CELL CARCINOMA, moderately differentiated (G2), residual
- Neoadjuvant treatment: chemoradiation therapy. 
- Tumor regression grade: grade 1 (moderate regression)
- Location of tumor: lower thoracic
- Size of tumor: 1.2 x 0.4 x 0.5 cm
- Gross type: ulceroinfiltrative
- Depth of invasion: invades adventitia
- Surgical margin: free from carcinoma 
- Safety margin: proximal margin, 4.0 cm; distal margin, 5.0 cm; radial margin, 1 mm
- Number of metastatic lymph nodes: 6
- Number of examined lymph nodes: 54
  (peritumoral LN, 0/1; Greater omentum, 0/0; LN#2L, 0/6; LN#3P, 0/2; LN#4L, 0/1; LN#5, 0/4; LN#7, 1/2; LN#8L, 1/3; LN#8M, 0/2; LN#9L, 0/1; LN#10R, 0/1; LN#16, 1/4; LN#17, 1/7; LN#19, 1/1; LN#106R, 0/3; LN#Rt. Level 3, 0/6; LN#Lt. Level 3, 0/3; LN#Rt. Level 4, 1/3; LN#Lt. Level 4, 0/1; LN#20, 0/3; Thoracic duct LN, 0/0)
- Lymphatic invasion: not identified 
- Venous invasion: not identified 
- Perineural invasion: not identified 
- Tumor border: infiltrative
- Stromal reaction: none
- Intramural metastasis: not identified
- Precancerous lesion: not identified
Pathologic staging (AJCC 8th)
- pT category: ypT3, invades adventitia
- pN category: ypN2, metastasis in 3-6 regional lymph nodes
Omentum, omentectomy: No tumor involvement
Tissue labelled "bronchial artery", excision: No tumor involvement
Esophagus and stomach, esophagectomy: 
SQUAMOUS CELL CARCINOMA, moderately differentiated (G2), residual
- Neoadjuvant treatment: chemoradiation therapy. 
- Tumor regression grade: grade 1 (moderate regression)
- Location of tumor: lower thoracic
- Size of tumor: 1.2 x 0.4 x 0.5 cm
- Gross type: ulceroinfiltrative
- Depth of invasion: invades adventitia
- Surgical margin: free from carcinoma 
- Safety margin: proximal margin, 4.0 cm; distal margin, 5.0 cm; radial margin, 1 mm
- Number of metastatic lymph nodes: 6
- Number of examined lymph nodes: 54
  (peritumoral LN, 0/1; Greater omentum, 0/0; LN#2L, 0/6; LN#3P, 0/2; LN#4L, 0/1; LN#5, 0/4; LN#7, 1/2; LN#8L, 1/3; LN#8M, 0/2; LN#9L, 0/1; LN#10R, 0/1; LN#16, 1/4; LN#17, 1/7; LN#19, 1/1; LN#106R, 0/3; LN#Rt. Level 3, 0/6; LN#Lt. Level 3, 0/3; LN#Rt. Level 4, 1/3; LN#Lt. Level 4, 0/1; LN#20, 0/3; Thoracic duct LN, 0/0)
- Lymphatic invasion: not identified 
- Venous invasion: not identified 
- Perineural invasion: not identified 
- Tumor border: infiltrative
- Stromal reaction: none
- Intramural metastasis: not identified
- Precancerous lesion: not identified
Pathologic staging (AJCC 8th)
- pT category: ypT3, invades adventitia
- pN category: ypN2, metastasis in 3-6 regional lymph nodes
Omentum, omentectomy: No tumor involvement
Tissue labelled "bronchial artery", excision: No tumor involvement</t>
    <phoneticPr fontId="2" type="noConversion"/>
  </si>
  <si>
    <t>1.2 x 0.4 x 0.5 cm</t>
  </si>
  <si>
    <t>grade 1 (moderate regression)</t>
    <phoneticPr fontId="2" type="noConversion"/>
  </si>
  <si>
    <t>Robotic esophagectomy (McKeown) with 3 field LN dissection</t>
    <phoneticPr fontId="2" type="noConversion"/>
  </si>
  <si>
    <t>both scl / med elective</t>
    <phoneticPr fontId="2" type="noConversion"/>
  </si>
  <si>
    <t>scl/med elective</t>
    <phoneticPr fontId="2" type="noConversion"/>
  </si>
  <si>
    <t>eso, mass / gross LNs</t>
    <phoneticPr fontId="2" type="noConversion"/>
  </si>
  <si>
    <t>4L, 8, (Lt SCN or upper para-esophageal?)</t>
    <phoneticPr fontId="2" type="noConversion"/>
  </si>
  <si>
    <t>정인조</t>
    <phoneticPr fontId="2" type="noConversion"/>
  </si>
  <si>
    <t>SNUH_121</t>
  </si>
  <si>
    <t>Esophagus and stomach, esophagectomy:
SQUAMOUS CELL CARCINOMA, moderately differentiated (G2)
- Neoadjuvant treatment: chemoradiation therapy. 
- Tumor regression grade: grade 2 (minimal regression)
- Location of tumor: lower thoracic
- Size of tumor: 3.5 x 2.4 x 0.8 mm
- Gross type: ulceroinfiltrative
- Surgical margin: free from carcinoma
- Safety margin: proximal margin, 9.1 cm; distal margin, 4 cm; radial margin, 1.5 mm; 
- Number of metastatic lymph nodes: 6
- Number of examined lymph nodes: 98
  (LN#2L, 2/5; LN#3P, 0/2; LN#4L, 0/1; LN#5, 0/2; LN#7, 1/6; LN#8L, 0/10; LN#8M, 0/0; LN#9L, 0/2; LN#10L, 0/5; LN#17, 0/11; LN#18, 0/8; LN#19, 0/0; LN#106R, 1/16; LN#RT.LV3, 0/8; LN#RT.LV4, 0/6; LN#LT.LV3, 0/6; LN#LT.LV4, 2/10; )
- Lymphatic invasion: mural, intratumoral
- Venous invasion: not identified 
- Perineural invasion: mural, intratumoral
- Tumor border: infiltrative
- Stromal reaction: none
- Intramural metastasis: not identified
- Precancerous lesion: not identified
Pathologic staging (AJCC 8th)
- ypT category: ypT3, invades adventitia
- ypN category: ypN2, metastasis in 3-6 regional lymph nodes
Tissue labelled "Bronchial artery", excision:
No tumor involvement
Note) Histopathologic mapping procedure was performed</t>
    <phoneticPr fontId="2" type="noConversion"/>
  </si>
  <si>
    <t>3.5 x 2.4 x 0.8 mm</t>
  </si>
  <si>
    <t>Robot-assisted esophagectomy (McKeown), 3-field LN dissection</t>
    <phoneticPr fontId="2" type="noConversion"/>
  </si>
  <si>
    <t>eso. mass / gross LNs</t>
    <phoneticPr fontId="2" type="noConversion"/>
  </si>
  <si>
    <t>1L, 2L</t>
    <phoneticPr fontId="2" type="noConversion"/>
  </si>
  <si>
    <t>정승균</t>
    <phoneticPr fontId="2" type="noConversion"/>
  </si>
  <si>
    <t>SNUH_120</t>
  </si>
  <si>
    <t>Esopahgus and proximal stomach, esophagectomy:
SQUAMOUS CELL CARCINOMA, well differentiated (G1), residual 
- Neoadjuvant treatment: chemoradiation therapy
- Tumor regression grade: 2 (partial response; residual cancer with evident tumor regression but more than single cells or rare small groups of cancer cells)
- Location of tumor: middle thoracic
- Size of tumor (carcinoma portion): 0.8 x 0.8 x 0.1 cm
- Size of tumor (including dysplasia): 1.8 x 1.6 x 0.1 cm
- Gross type: superficial
- Depth of invasion: invades mucosa (lamina propria)
- Surgical margin: free from carcinoma
- Safety margin: proximal margin, 11.0 cm (Fro#1); distal margin, 5.6 cm; radial margin, 5 mm
- Number of metastatic lymph nodes: 0
- Number of examined lymph nodes: 52
  (LN# 2L, 0/5; LN# 4L, 0/3; LN# 5, 0/6; LN# 7, 0/4; LN# 8U, 0/1; LN# 8L, 0/2; LN# 8M, 0/3; LN# 9R, 0/2; LN# 9L, 0/1; LN# 15, 0/1; LN# 17, 0/7; LN# 19, 0/1; LN# 106R, 0/3; LN# Rt. level II, 0/4; LN# Rt. level III, 0/5; LN# Lt. level III, 0/1; LN# Lt. level IV, 0/3)
- Lymphatic invasion: not identified 
- Venous invasion: not identified
- Perineural invasion: not identified 
- Tumor border: not applicable
- Stromal reaction: not applicable
- Intramural metastasis: not identified
- Precancerous lesion: high grade dysplasia
Pathologic staging (AJCC 8th)
- pT category: ypT1a, invades lamina propria or muscularis mucosa
- pN category: ypN0, no metastasis in regional lymph nodes
Tissue labelled, "Bronchial artery", excision: 
No tumor involvement</t>
    <phoneticPr fontId="2" type="noConversion"/>
  </si>
  <si>
    <t>0.8 x 0.8 x 0.1 cm</t>
  </si>
  <si>
    <t>Robotic esophagectomy (Mckeown) with 3 field LN dissection</t>
    <phoneticPr fontId="2" type="noConversion"/>
  </si>
  <si>
    <t>med (elective)</t>
    <phoneticPr fontId="2" type="noConversion"/>
  </si>
  <si>
    <t>조경용</t>
    <phoneticPr fontId="2" type="noConversion"/>
  </si>
  <si>
    <t>SNUH_119</t>
  </si>
  <si>
    <r>
      <t xml:space="preserve">Esophagus and proximal stomach, esophagectomy:
SQUAMOUS CELL CARCINOMA, moderately differentiated (G2), residual 
- Neoadjuvant treatment: chemoradiation therapy 
- Tumor regression grade: grade 1 (moderate regression)
- Location of tumor: middle thoracic
- Size of tumor: up to 0.7 x 0.4 x 0.2 cm (see note 2)
- Gross type: ulceroinfiltrative
- Depth of invasion: invades muscularis propria
- Surgical margin: free from carcinoma
- Safety margin: proximal margin, 4.7 cm; distal margin, 11.6 cm; radial margin, 4 mm 
- Number of metastatic lymph nodes: 1
- Number of examined lymph nodes: 74
  (peritumoral LN, 0/1; LN#2L, 0/2 (see note 3); LN#3P, 0/1; LN#4L, 0/3; LN#5, 0/5; LN#7, 0/10; LN#8L, 0/3; LN#8M, 0/2; LN#9L, 0/1; LN#9R, 0/1; LN#15, 0/3; LN#16, 0/1; LN#17, 0/11; LN#18, 0/1; LN#19, 0/3; LN#106R,1/5; LN#20,0/2; "thoracic duct L/N", 0/4; Lt. level #3 LN, 0/1; Lt. level #4 LN, 0/9; Rt. Level #3 LN, 0/1; Rt. Level #4 LN, 0/3; Rt. Level #6 LN, 0/1; )
- Lymphatic invasion: not identified 
- Venous invasion: not identified 
- Perineural invasion: not identified 
- Tumor border: infiltrative
- Stromal reaction: none
- Intramural metastasis: not identified
- Precancerous lesion: not identified
Pathologic staging (AJCC 8th)
- pT category: ypT2, invades muscularis propria
- pN category: ypN1, metastasis in 1-2 regional lymph nodes
Tissue labelled "bronchial artery", excision: No tumor involvement
(Note) </t>
    </r>
    <r>
      <rPr>
        <sz val="10"/>
        <color theme="1"/>
        <rFont val="돋움"/>
        <family val="3"/>
        <charset val="129"/>
      </rPr>
      <t>조직학적</t>
    </r>
    <r>
      <rPr>
        <sz val="10"/>
        <color theme="1"/>
        <rFont val="Arial"/>
        <family val="2"/>
      </rPr>
      <t xml:space="preserve"> </t>
    </r>
    <r>
      <rPr>
        <sz val="10"/>
        <color theme="1"/>
        <rFont val="돋움"/>
        <family val="3"/>
        <charset val="129"/>
      </rPr>
      <t>구축검사</t>
    </r>
    <r>
      <rPr>
        <sz val="10"/>
        <color theme="1"/>
        <rFont val="Arial"/>
        <family val="2"/>
      </rPr>
      <t>(histologic mapping)</t>
    </r>
    <r>
      <rPr>
        <sz val="10"/>
        <color theme="1"/>
        <rFont val="돋움"/>
        <family val="3"/>
        <charset val="129"/>
      </rPr>
      <t>를</t>
    </r>
    <r>
      <rPr>
        <sz val="10"/>
        <color theme="1"/>
        <rFont val="Arial"/>
        <family val="2"/>
      </rPr>
      <t xml:space="preserve"> </t>
    </r>
    <r>
      <rPr>
        <sz val="10"/>
        <color theme="1"/>
        <rFont val="돋움"/>
        <family val="3"/>
        <charset val="129"/>
      </rPr>
      <t>시행하였습니다</t>
    </r>
    <r>
      <rPr>
        <sz val="10"/>
        <color theme="1"/>
        <rFont val="Arial"/>
        <family val="2"/>
      </rPr>
      <t xml:space="preserve">.
(Note 2) </t>
    </r>
    <r>
      <rPr>
        <sz val="10"/>
        <color theme="1"/>
        <rFont val="돋움"/>
        <family val="3"/>
        <charset val="129"/>
      </rPr>
      <t>전체</t>
    </r>
    <r>
      <rPr>
        <sz val="10"/>
        <color theme="1"/>
        <rFont val="Arial"/>
        <family val="2"/>
      </rPr>
      <t xml:space="preserve"> Tumor extent </t>
    </r>
    <r>
      <rPr>
        <sz val="10"/>
        <color theme="1"/>
        <rFont val="돋움"/>
        <family val="3"/>
        <charset val="129"/>
      </rPr>
      <t>는</t>
    </r>
    <r>
      <rPr>
        <sz val="10"/>
        <color theme="1"/>
        <rFont val="Arial"/>
        <family val="2"/>
      </rPr>
      <t xml:space="preserve"> 7.5 x 3.2 x 0.2 cm </t>
    </r>
    <r>
      <rPr>
        <sz val="10"/>
        <color theme="1"/>
        <rFont val="돋움"/>
        <family val="3"/>
        <charset val="129"/>
      </rPr>
      <t>이며</t>
    </r>
    <r>
      <rPr>
        <sz val="10"/>
        <color theme="1"/>
        <rFont val="Arial"/>
        <family val="2"/>
      </rPr>
      <t xml:space="preserve"> </t>
    </r>
    <r>
      <rPr>
        <sz val="10"/>
        <color theme="1"/>
        <rFont val="돋움"/>
        <family val="3"/>
        <charset val="129"/>
      </rPr>
      <t>내부에</t>
    </r>
    <r>
      <rPr>
        <sz val="10"/>
        <color theme="1"/>
        <rFont val="Arial"/>
        <family val="2"/>
      </rPr>
      <t xml:space="preserve"> </t>
    </r>
    <r>
      <rPr>
        <sz val="10"/>
        <color theme="1"/>
        <rFont val="돋움"/>
        <family val="3"/>
        <charset val="129"/>
      </rPr>
      <t>종양세포는</t>
    </r>
    <r>
      <rPr>
        <sz val="10"/>
        <color theme="1"/>
        <rFont val="Arial"/>
        <family val="2"/>
      </rPr>
      <t xml:space="preserve"> </t>
    </r>
    <r>
      <rPr>
        <sz val="10"/>
        <color theme="1"/>
        <rFont val="돋움"/>
        <family val="3"/>
        <charset val="129"/>
      </rPr>
      <t>낮은</t>
    </r>
    <r>
      <rPr>
        <sz val="10"/>
        <color theme="1"/>
        <rFont val="Arial"/>
        <family val="2"/>
      </rPr>
      <t xml:space="preserve"> </t>
    </r>
    <r>
      <rPr>
        <sz val="10"/>
        <color theme="1"/>
        <rFont val="돋움"/>
        <family val="3"/>
        <charset val="129"/>
      </rPr>
      <t>밀도로</t>
    </r>
    <r>
      <rPr>
        <sz val="10"/>
        <color theme="1"/>
        <rFont val="Arial"/>
        <family val="2"/>
      </rPr>
      <t xml:space="preserve"> </t>
    </r>
    <r>
      <rPr>
        <sz val="10"/>
        <color theme="1"/>
        <rFont val="돋움"/>
        <family val="3"/>
        <charset val="129"/>
      </rPr>
      <t>관찰됩니다</t>
    </r>
    <r>
      <rPr>
        <sz val="10"/>
        <color theme="1"/>
        <rFont val="Arial"/>
        <family val="2"/>
      </rPr>
      <t xml:space="preserve">. 
(Note 3) "LN 2L" </t>
    </r>
    <r>
      <rPr>
        <sz val="10"/>
        <color theme="1"/>
        <rFont val="돋움"/>
        <family val="3"/>
        <charset val="129"/>
      </rPr>
      <t>검체에서</t>
    </r>
    <r>
      <rPr>
        <sz val="10"/>
        <color theme="1"/>
        <rFont val="Arial"/>
        <family val="2"/>
      </rPr>
      <t xml:space="preserve"> </t>
    </r>
    <r>
      <rPr>
        <sz val="10"/>
        <color theme="1"/>
        <rFont val="돋움"/>
        <family val="3"/>
        <charset val="129"/>
      </rPr>
      <t>부갑상선</t>
    </r>
    <r>
      <rPr>
        <sz val="10"/>
        <color theme="1"/>
        <rFont val="Arial"/>
        <family val="2"/>
      </rPr>
      <t xml:space="preserve"> </t>
    </r>
    <r>
      <rPr>
        <sz val="10"/>
        <color theme="1"/>
        <rFont val="돋움"/>
        <family val="3"/>
        <charset val="129"/>
      </rPr>
      <t>조직이</t>
    </r>
    <r>
      <rPr>
        <sz val="10"/>
        <color theme="1"/>
        <rFont val="Arial"/>
        <family val="2"/>
      </rPr>
      <t xml:space="preserve"> </t>
    </r>
    <r>
      <rPr>
        <sz val="10"/>
        <color theme="1"/>
        <rFont val="돋움"/>
        <family val="3"/>
        <charset val="129"/>
      </rPr>
      <t>관찰됩니다</t>
    </r>
    <r>
      <rPr>
        <sz val="10"/>
        <color theme="1"/>
        <rFont val="Arial"/>
        <family val="2"/>
      </rPr>
      <t>.</t>
    </r>
    <phoneticPr fontId="2" type="noConversion"/>
  </si>
  <si>
    <t>up to 0.7 x 0.4 x 0.2 cm</t>
    <phoneticPr fontId="2" type="noConversion"/>
  </si>
  <si>
    <t>eso. mass / gross LN (2R)</t>
    <phoneticPr fontId="2" type="noConversion"/>
  </si>
  <si>
    <t>25-30</t>
    <phoneticPr fontId="2" type="noConversion"/>
  </si>
  <si>
    <t>이경옥</t>
    <phoneticPr fontId="2" type="noConversion"/>
  </si>
  <si>
    <t>SNUH_118</t>
  </si>
  <si>
    <t>supportive care only</t>
    <phoneticPr fontId="2" type="noConversion"/>
  </si>
  <si>
    <r>
      <t xml:space="preserve">Esophagus, McKeown operation;
SQUAMOUS CELL CARCINOMA, moderately differentiated (G2)
- Neoadjuvant treatment: chemoradiation therapy
- Tumor regression grade: grade 3 (poor response)
- Gross type: protruding
- Location of tumor: lower thoracic
- Size of tumor: 2.2x 1.8x 0.6 cm 
- Depth of invasion: invades submucosa ; depth of submucosal invasion, 1 mm
- ypT stage (AJCC 7th): ypT1b
- Surgical margin: free from carcinoma
- Safety margin: proximal margin, 14.5 cm; distal margin, 14.5 cm; radial margin, 3 mm; 
- Number of metastatic lymph nodes: 2
- Number of examined lymph nodes: 36
  (peritumoral LN, 0/1; LN#2L, 0/7; LN#4R, 0/2; LN#4L, 0/3; LN#5, 0/7; LN#7, 0/4; LN#8L, 1/2; LN#8M, 0/4; LN#16, 0/2; LN#17, 0/2; LN#19, 0/0,
    Rt. Recurrent laryngeal LN, 0/0; Subpectoral LN, 1/2; )
- ypN stage (AJCC 7th): ypN1, metastasis in 1-2 regional lymph nodes
- Lymphatic invasion: present, mural, peritumoral
- Venous invasion: not identified 
- Perineural invasion: not identified
- Tumor border: infiltrative
- Stromal reaction: none
- Intramural metastasis: not identified
- Precancerous lesion: not identified
Tissue from liver (Fro #1): (see note)
Note) Histopathologic mapping procedure was performed.
Note) Liver mass </t>
    </r>
    <r>
      <rPr>
        <sz val="10"/>
        <color theme="1"/>
        <rFont val="돋움"/>
        <family val="3"/>
        <charset val="129"/>
      </rPr>
      <t>에</t>
    </r>
    <r>
      <rPr>
        <sz val="10"/>
        <color theme="1"/>
        <rFont val="Arial"/>
        <family val="2"/>
      </rPr>
      <t xml:space="preserve"> </t>
    </r>
    <r>
      <rPr>
        <sz val="10"/>
        <color theme="1"/>
        <rFont val="돋움"/>
        <family val="3"/>
        <charset val="129"/>
      </rPr>
      <t>대한</t>
    </r>
    <r>
      <rPr>
        <sz val="10"/>
        <color theme="1"/>
        <rFont val="Arial"/>
        <family val="2"/>
      </rPr>
      <t xml:space="preserve"> </t>
    </r>
    <r>
      <rPr>
        <sz val="10"/>
        <color theme="1"/>
        <rFont val="돋움"/>
        <family val="3"/>
        <charset val="129"/>
      </rPr>
      <t>진단은</t>
    </r>
    <r>
      <rPr>
        <sz val="10"/>
        <color theme="1"/>
        <rFont val="Arial"/>
        <family val="2"/>
      </rPr>
      <t xml:space="preserve"> </t>
    </r>
    <r>
      <rPr>
        <sz val="10"/>
        <color theme="1"/>
        <rFont val="돋움"/>
        <family val="3"/>
        <charset val="129"/>
      </rPr>
      <t>추후</t>
    </r>
    <r>
      <rPr>
        <sz val="10"/>
        <color theme="1"/>
        <rFont val="Arial"/>
        <family val="2"/>
      </rPr>
      <t xml:space="preserve"> </t>
    </r>
    <r>
      <rPr>
        <sz val="10"/>
        <color theme="1"/>
        <rFont val="돋움"/>
        <family val="3"/>
        <charset val="129"/>
      </rPr>
      <t>보고하겠습니다</t>
    </r>
    <r>
      <rPr>
        <sz val="10"/>
        <color theme="1"/>
        <rFont val="Arial"/>
        <family val="2"/>
      </rPr>
      <t xml:space="preserve">.
</t>
    </r>
    <r>
      <rPr>
        <sz val="10"/>
        <color theme="1"/>
        <rFont val="돋움"/>
        <family val="3"/>
        <charset val="129"/>
      </rPr>
      <t>접수일</t>
    </r>
    <r>
      <rPr>
        <sz val="10"/>
        <color theme="1"/>
        <rFont val="Arial"/>
        <family val="2"/>
      </rPr>
      <t xml:space="preserve"> : 2015-06-30     </t>
    </r>
    <r>
      <rPr>
        <sz val="10"/>
        <color theme="1"/>
        <rFont val="돋움"/>
        <family val="3"/>
        <charset val="129"/>
      </rPr>
      <t>판독일</t>
    </r>
    <r>
      <rPr>
        <sz val="10"/>
        <color theme="1"/>
        <rFont val="Arial"/>
        <family val="2"/>
      </rPr>
      <t xml:space="preserve"> : 2015-07-06
</t>
    </r>
    <r>
      <rPr>
        <sz val="10"/>
        <color theme="1"/>
        <rFont val="돋움"/>
        <family val="3"/>
        <charset val="129"/>
      </rPr>
      <t>제작</t>
    </r>
    <r>
      <rPr>
        <sz val="10"/>
        <color theme="1"/>
        <rFont val="Arial"/>
        <family val="2"/>
      </rPr>
      <t>:</t>
    </r>
    <r>
      <rPr>
        <sz val="10"/>
        <color theme="1"/>
        <rFont val="돋움"/>
        <family val="3"/>
        <charset val="129"/>
      </rPr>
      <t>김명수</t>
    </r>
    <r>
      <rPr>
        <sz val="10"/>
        <color theme="1"/>
        <rFont val="Arial"/>
        <family val="2"/>
      </rPr>
      <t>/</t>
    </r>
    <r>
      <rPr>
        <sz val="10"/>
        <color theme="1"/>
        <rFont val="돋움"/>
        <family val="3"/>
        <charset val="129"/>
      </rPr>
      <t>백수경</t>
    </r>
    <r>
      <rPr>
        <sz val="10"/>
        <color theme="1"/>
        <rFont val="Arial"/>
        <family val="2"/>
      </rPr>
      <t>/</t>
    </r>
    <r>
      <rPr>
        <sz val="10"/>
        <color theme="1"/>
        <rFont val="돋움"/>
        <family val="3"/>
        <charset val="129"/>
      </rPr>
      <t>이진아</t>
    </r>
    <r>
      <rPr>
        <sz val="10"/>
        <color theme="1"/>
        <rFont val="Arial"/>
        <family val="2"/>
      </rPr>
      <t xml:space="preserve">     </t>
    </r>
    <r>
      <rPr>
        <sz val="10"/>
        <color theme="1"/>
        <rFont val="돋움"/>
        <family val="3"/>
        <charset val="129"/>
      </rPr>
      <t>육안</t>
    </r>
    <r>
      <rPr>
        <sz val="10"/>
        <color theme="1"/>
        <rFont val="Arial"/>
        <family val="2"/>
      </rPr>
      <t>:</t>
    </r>
    <r>
      <rPr>
        <sz val="10"/>
        <color theme="1"/>
        <rFont val="돋움"/>
        <family val="3"/>
        <charset val="129"/>
      </rPr>
      <t>김보현</t>
    </r>
    <r>
      <rPr>
        <sz val="10"/>
        <color theme="1"/>
        <rFont val="Arial"/>
        <family val="2"/>
      </rPr>
      <t xml:space="preserve">   </t>
    </r>
    <r>
      <rPr>
        <sz val="10"/>
        <color theme="1"/>
        <rFont val="돋움"/>
        <family val="3"/>
        <charset val="129"/>
      </rPr>
      <t>판독준비</t>
    </r>
    <r>
      <rPr>
        <sz val="10"/>
        <color theme="1"/>
        <rFont val="Arial"/>
        <family val="2"/>
      </rPr>
      <t>:</t>
    </r>
    <r>
      <rPr>
        <sz val="10"/>
        <color theme="1"/>
        <rFont val="돋움"/>
        <family val="3"/>
        <charset val="129"/>
      </rPr>
      <t>한나영</t>
    </r>
    <r>
      <rPr>
        <sz val="10"/>
        <color theme="1"/>
        <rFont val="Arial"/>
        <family val="2"/>
      </rPr>
      <t>/</t>
    </r>
    <r>
      <rPr>
        <sz val="10"/>
        <color theme="1"/>
        <rFont val="돋움"/>
        <family val="3"/>
        <charset val="129"/>
      </rPr>
      <t>송보람</t>
    </r>
    <r>
      <rPr>
        <sz val="10"/>
        <color theme="1"/>
        <rFont val="Arial"/>
        <family val="2"/>
      </rPr>
      <t>/</t>
    </r>
    <r>
      <rPr>
        <sz val="10"/>
        <color theme="1"/>
        <rFont val="돋움"/>
        <family val="3"/>
        <charset val="129"/>
      </rPr>
      <t>박성혜</t>
    </r>
    <r>
      <rPr>
        <sz val="10"/>
        <color theme="1"/>
        <rFont val="Arial"/>
        <family val="2"/>
      </rPr>
      <t>/</t>
    </r>
    <r>
      <rPr>
        <sz val="10"/>
        <color theme="1"/>
        <rFont val="돋움"/>
        <family val="3"/>
        <charset val="129"/>
      </rPr>
      <t>박혜은</t>
    </r>
    <r>
      <rPr>
        <sz val="10"/>
        <color theme="1"/>
        <rFont val="Arial"/>
        <family val="2"/>
      </rPr>
      <t xml:space="preserve">   </t>
    </r>
    <r>
      <rPr>
        <sz val="10"/>
        <color theme="1"/>
        <rFont val="돋움"/>
        <family val="3"/>
        <charset val="129"/>
      </rPr>
      <t>결과입력</t>
    </r>
    <r>
      <rPr>
        <sz val="10"/>
        <color theme="1"/>
        <rFont val="Arial"/>
        <family val="2"/>
      </rPr>
      <t>:</t>
    </r>
    <r>
      <rPr>
        <sz val="10"/>
        <color theme="1"/>
        <rFont val="돋움"/>
        <family val="3"/>
        <charset val="129"/>
      </rPr>
      <t xml:space="preserve">김보현
</t>
    </r>
    <r>
      <rPr>
        <sz val="10"/>
        <color theme="1"/>
        <rFont val="Arial"/>
        <family val="2"/>
      </rPr>
      <t xml:space="preserve"> </t>
    </r>
    <r>
      <rPr>
        <sz val="10"/>
        <color theme="1"/>
        <rFont val="돋움"/>
        <family val="3"/>
        <charset val="129"/>
      </rPr>
      <t>김우호</t>
    </r>
    <r>
      <rPr>
        <sz val="10"/>
        <color theme="1"/>
        <rFont val="Arial"/>
        <family val="2"/>
      </rPr>
      <t xml:space="preserve">   </t>
    </r>
    <r>
      <rPr>
        <sz val="10"/>
        <color theme="1"/>
        <rFont val="돋움"/>
        <family val="3"/>
        <charset val="129"/>
      </rPr>
      <t>이경분</t>
    </r>
    <r>
      <rPr>
        <sz val="10"/>
        <color theme="1"/>
        <rFont val="Arial"/>
        <family val="2"/>
      </rPr>
      <t xml:space="preserve">  
Addendum  2015-07-07 
----------------------------------------------------------
(Addendum, 2015.7.7)
No Metastasis in 11 additional lymph nodes 
 (LN MG: 0/11)
Totally metastasis in two out of 47 lymph nodes
Tissue from liver (Fro #1):
 Suggestive of focal nodular hyperplasia (see note)
(Note) Radiologic correlation is recommended.</t>
    </r>
    <phoneticPr fontId="2" type="noConversion"/>
  </si>
  <si>
    <t>protruding</t>
  </si>
  <si>
    <t xml:space="preserve">2.2x 1.8x 0.6 cm </t>
  </si>
  <si>
    <t>grade 3 (poor response)</t>
  </si>
  <si>
    <t>eso. mass / gross LN (paraesophageal)</t>
    <phoneticPr fontId="2" type="noConversion"/>
  </si>
  <si>
    <t>4R, 4L, 7, 8</t>
    <phoneticPr fontId="2" type="noConversion"/>
  </si>
  <si>
    <t>cT3N2M1</t>
    <phoneticPr fontId="2" type="noConversion"/>
  </si>
  <si>
    <t>23-30</t>
    <phoneticPr fontId="2" type="noConversion"/>
  </si>
  <si>
    <t>정진화</t>
    <phoneticPr fontId="2" type="noConversion"/>
  </si>
  <si>
    <t>SNUH_116</t>
  </si>
  <si>
    <t>pall. DFP #4 (2019/1/16 - 4/3) -&gt; nivolumab</t>
    <phoneticPr fontId="2" type="noConversion"/>
  </si>
  <si>
    <t>Esopahgus and proximal stomach, cervical esophagogastrostomy:
SQUAMOUS CELL CARCINOMA, moderately differentiated (G2), residual
- Neoadjuvant treatment: chemoradiation therapy
- Tumor regression grade: 2 (partial response; residual cancer with evident tumor regression but more than single cells or rare small groups of cancer cells)
- Location of tumor: upper thoracic
- Size of tumor: 7.5 x 3.4 x 0.3 cm
- Gross type: superficial
- Depth of invasion: invades muscularis propria
- Surgical margin: free from tumor
- safety margin: proximal margin (Fro#3), 0.2 cm; distal margin, 9.5 cm; radial margin, 0.5 mm
- Number of metastatic lymph nodes: 8
- Number of examined lymph nodes: 70
  (LN#2L 2/2; LN#3P 1/1; LN#4L 0/2; LN#5 0/6; LN#7 0/5; LN#8L 0/3; LN#8M 0/0; LN#9L 0/2; LN#9R 0/1; LN#16 0/1; LN#17 0/11; LN#18 0/2; LN#19 0/0; LN#106R 1/1; LN Rt. level3 0/2; LN Rt. level4 1/10; LN Lt. level3 1/9; LN Lt. level4 2/12; "Thoracic duct LN"0/0)
- Lymphatic invasion: not identified
- Venous invasion: extramural, peritumoral 
- Perineural invasion: mural, intratumoral
- Tumor border: infiltrative
- Stromal reaction: none
- Intramural metastasis: not identified
- Precancerous lesion: not identified
Pathologic staging (AJCC 8th)
- pT category: ypT2, invades muscularis propria
- pN category: ypN3, metastasis in 7 or more regional lymph nodes
Tissue labelled "proximal R/M #2", excision:
Involvement of squamous cell carcinoma
Tissue labelled "bronchial artery", "proximal R/M #3", excision:
No tumor involvement</t>
    <phoneticPr fontId="2" type="noConversion"/>
  </si>
  <si>
    <t>7.5 x 3.4 x 0.3 cm</t>
  </si>
  <si>
    <t>Robot-assisted esophagectomy (McKewon) + 3-field LN dissection</t>
    <phoneticPr fontId="2" type="noConversion"/>
  </si>
  <si>
    <t>both scl/med elective, abd (no elective)</t>
    <phoneticPr fontId="2" type="noConversion"/>
  </si>
  <si>
    <t>scl/med elective, abd</t>
    <phoneticPr fontId="2" type="noConversion"/>
  </si>
  <si>
    <t>eso mass / gross LNs</t>
    <phoneticPr fontId="2" type="noConversion"/>
  </si>
  <si>
    <t>1R, 2R, Lt. gastric area</t>
  </si>
  <si>
    <t>20 / 25-33</t>
    <phoneticPr fontId="2" type="noConversion"/>
  </si>
  <si>
    <t>문재웅</t>
    <phoneticPr fontId="2" type="noConversion"/>
  </si>
  <si>
    <t>SNUH_113</t>
  </si>
  <si>
    <t>NED, fistula</t>
    <phoneticPr fontId="2" type="noConversion"/>
  </si>
  <si>
    <t>Esophagus and stomach, Ivor-Lewis operation;
SQUAMOUS CELL CARCINOMA, moderately differentiated (G2), residual
- Neoadjuvant treatment: chemoradiation therapy. 
- Tumor regression grade: grade 2 (minimal regression)
- Gross type: ulceroinfiltrative
- Location of tumor: middle thoracic
- Size of tumor: 1.4 x 1.2 x 0.7 cm. 
- Depth of invasion: invades adventitia
- ypT stage (AJCC 7th): ypT3
- Surgical margin: free from carcinoma
- Safety margin: proximal margin, 1.6 cm; distal margin, 7.3 cm; radial margin 2 mm;
- Number of metastatic lymph nodes: 2
- Number of examined lymph nodes: 27
  (LN#4L, 0/0; LN#5, 0/0; LN#7, 0/5; LN#8L, 0/2; LN#8M, 0/0; LN#16, 0/2; LN#17, 2/10; LN#18, 0/1; LN#19, 0/4; LN Rt. recurrent laryngeal, 0/3; )
- ypN stage (AJCC 7th): ypN1, metastasis in 1-2 regional lymph nodes
- Lymphatic invasion: not identified
- Venous invasion: not identified 
- Perineural invasion: not identified 
- Tumor border: infiltrative
- Stromal reaction: desmoplastic
- Intramural metastasis: not identified
- Precancerous lesion: not identified</t>
    <phoneticPr fontId="2" type="noConversion"/>
  </si>
  <si>
    <t>1.4 x 1.2 x 0.7 cm</t>
  </si>
  <si>
    <t>Hybrid Robot-assisted Ivor-Lewis operation + 2-field LN dissection</t>
    <phoneticPr fontId="2" type="noConversion"/>
  </si>
  <si>
    <t>eso. mass / 2R</t>
    <phoneticPr fontId="2" type="noConversion"/>
  </si>
  <si>
    <t>med/(abd)</t>
    <phoneticPr fontId="2" type="noConversion"/>
  </si>
  <si>
    <t>Rt highest mediastinal LN, (Lt gastric LN)</t>
    <phoneticPr fontId="2" type="noConversion"/>
  </si>
  <si>
    <t>신현국</t>
    <phoneticPr fontId="2" type="noConversion"/>
  </si>
  <si>
    <t>SNUH_111</t>
  </si>
  <si>
    <t>reflux, cough, postprandial pain?</t>
    <phoneticPr fontId="2" type="noConversion"/>
  </si>
  <si>
    <t>hoarseness</t>
    <phoneticPr fontId="2" type="noConversion"/>
  </si>
  <si>
    <t xml:space="preserve">Esophagus and stomach, McKeown operation;
No residual tumor
- Neoadjuvant treatment: chemoradiation therapy. 
- Previous pathology report: S 16-1434 (Squamous cell carcinoma, moderately differentiated)
- Tumor regression grade: grade 0 (complete regression)
- ypT stage (AJCC 7th): ypT0
- Surgical margin: free from carcinoma
- Number of metastatic lymph nodes: 0
- Number of examined lymph nodes: 19
  (LN#3p, 0/0; LN#7, 0/4; LN#8L, 0/2; LN#8M, 0/1; LN#16, 0/4; LN#17, 0/7; LN#18, 0/1; LN#19, 0/0; right recurrent laryngeal LN (Fro#2), 0/0; )
- ypN stage (AJCC 7th): ypN0, no metastasis in regional lymph nodes
- Lymphatic invasion: not identified 
- Venous invasion: not identified 
- Perineural invasion: not identified 
- Tumor border: not applicable
- Stromal reaction: not applicable
- Intramural metastasis: not identified
- Precancerous lesion: not identified
Soft tissue, "thoracic duct", excision: 
No tumor involvement 
Lung, right upper lobe, wedge resection: 
Fibrotic change with no tumor involvement </t>
    <phoneticPr fontId="2" type="noConversion"/>
  </si>
  <si>
    <t>eso. mass / Rt. Scl LN, 2L</t>
    <phoneticPr fontId="2" type="noConversion"/>
  </si>
  <si>
    <t>Rt. SCL, 2R, 4L</t>
    <phoneticPr fontId="2" type="noConversion"/>
  </si>
  <si>
    <t>20-28</t>
    <phoneticPr fontId="2" type="noConversion"/>
  </si>
  <si>
    <t>신종원</t>
    <phoneticPr fontId="2" type="noConversion"/>
  </si>
  <si>
    <t>SNUH_108</t>
  </si>
  <si>
    <t>reflux</t>
    <phoneticPr fontId="2" type="noConversion"/>
  </si>
  <si>
    <t>RT esophagitis</t>
    <phoneticPr fontId="2" type="noConversion"/>
  </si>
  <si>
    <t>liver, lung</t>
    <phoneticPr fontId="2" type="noConversion"/>
  </si>
  <si>
    <t>pall FP #2 (17.9.10~ 17.10.15)</t>
    <phoneticPr fontId="2" type="noConversion"/>
  </si>
  <si>
    <t>during chemo</t>
    <phoneticPr fontId="2" type="noConversion"/>
  </si>
  <si>
    <t xml:space="preserve">Esophagus and stomach, McKeown operation;
RESIDUAL SQUAMOUS CELL CARCINOMA in lymph node
- Neoadjuvant treatment: chemoradiation therapy 
- Previous pathology report: S16-1334 (invasive squamous cell carcinoma, well differentiated)
- Tumor regression grade: grade 1 (moderate regression)
- ypT stage (AJCC 7th): ypT0
- Surgical margin: free from carcinoma 
- Number of metastatic lymph nodes: 2
- Number of examined lymph nodes: 90
  (LN#2L, 0/3; LN#3P, 0/1; LN#4L, 0/5; LN#5, 0/4; LN#7, 0/6; LN#9L, 0/2; LN#9R, 0/2; LN#10L, 0/1; LN#18, 0/3; LN#19, 0/4; LN#Rt. Recurrent laryngeal, 0/8; LN#3P-2, 0/0; LN#8L, 0/3; LN#8M, 0/6; LN#16, 1/1; LN#17, 1/8; "Rt. Level 3", 0/8; "Rt. Level 4", 0/9; "Lt. Level 3", 0/10; "Lt. Level 4", 0/6; )
- ypN stage (AJCC 7th): ypN1, metastasis in 1-2 regional lymph nodes
- Lymphatic invasion: not identified 
- Venous invasion: not identified 
- Perineural invasion: not identified 
- Tumor border: not applicable
- Stromal reaction: none
- Intramural metastasis: not identified
- Precancerous lesion: none
- Associated findings: none
- Additional lesion: none
Blood vessel, "azygos vein", excision: 
 No tumor involvement
Note) Histopathologic mapping procedure was performed.  </t>
    <phoneticPr fontId="2" type="noConversion"/>
  </si>
  <si>
    <t>eso. mass</t>
  </si>
  <si>
    <t>28-32</t>
    <phoneticPr fontId="2" type="noConversion"/>
  </si>
  <si>
    <t>박영환</t>
    <phoneticPr fontId="2" type="noConversion"/>
  </si>
  <si>
    <t>SNUH_106</t>
  </si>
  <si>
    <t>cough</t>
    <phoneticPr fontId="2" type="noConversion"/>
  </si>
  <si>
    <t>Esophagus, Ivor-Lewis operation;
No residual tumor, 
  (S15-69906, squamous cell carcinoma, moderately differentiated)
- Neoadjuvant treatment: chemoradiation therapy. 
- Tumor regression grade: grade 0 (complete regression)
- Gross type: superficial
- Location of tumor: lower thoracic
- ypT stage (AJCC 7th): ypT0
- Surgical margin: free from carcinoma
- Number of metastatic lymph nodes: 0
- Number of examined lymph nodes: 29
  (LN#2L, 0/1; LN#3P,0/0; LN# 4L,0/0; LN#5,0/2; LN#  7,0/8; LN#8L,0/1; LN#8M,0/1; LN#9L,0/1; LN#16,0/3; LN#17,0/7; LN#18,0/1; LN#19,0/1; LN#20,0/0; LN#RT. recurrent laryngeal (including Fro#2),0/3; )
- Lymphatic invasion: not identified 
- Venous invasion: not identified 
- Perineural invasion: not identified 
- Tumor border: infiltrative
- Stromal reaction: none
- Intramural metastasis: not identified
Note) Histologic mapping procedure was performed.</t>
    <phoneticPr fontId="2" type="noConversion"/>
  </si>
  <si>
    <t>Ivor lewis operation + 2-field LN dissection</t>
    <phoneticPr fontId="2" type="noConversion"/>
  </si>
  <si>
    <t>med (elective), abd (no elective)</t>
    <phoneticPr fontId="2" type="noConversion"/>
  </si>
  <si>
    <t>Lower-thoracic eso. mass / 4R &amp; Lt gastric LNs</t>
    <phoneticPr fontId="2" type="noConversion"/>
  </si>
  <si>
    <t>Lt. gastric and Rt. lower paratracheal LN</t>
    <phoneticPr fontId="2" type="noConversion"/>
  </si>
  <si>
    <t>38cm</t>
    <phoneticPr fontId="2" type="noConversion"/>
  </si>
  <si>
    <t>김갑기</t>
    <phoneticPr fontId="2" type="noConversion"/>
  </si>
  <si>
    <t>SNUH_105</t>
  </si>
  <si>
    <t>Esophagus, Ivor-Lewis operation:
No residual tumor
- Neoadjuvant treatment: chemoradiation therapy 
- Tumor regression grade: grade 0 (complete regression)
- ypT stage (AJCC 7th): ypT0
- Surgical margin: free from carcinoma
- Number of metastatic lymph nodes: 0
- Number of examined lymph nodes: 27
  (peritumoral LN, 0/4; LN# 2L 4L, 0/7; LN# 3P, 0/0; LN# 5, 0/3; LN# 7,0/11; LN Rt. recurrent laryngeal, 0/2; )
- ypN stage (AJCC 7th): ypN0, no metastasis in regional lymph nodes
- Lymphatic invasion: not identified 
- Venous invasion: not identified 
- Perineural invasion: not identified 
- Intramural metastasis: not identified
Tissue labelled "upper RM", "anastomasis site", excision:
No tumor involvement
Note) Histopathologic mapping procedure was performed.</t>
    <phoneticPr fontId="2" type="noConversion"/>
  </si>
  <si>
    <t>lower thoracic esophageal wall thickening / perigastric LN mets</t>
    <phoneticPr fontId="2" type="noConversion"/>
  </si>
  <si>
    <t>37-40</t>
    <phoneticPr fontId="2" type="noConversion"/>
  </si>
  <si>
    <t>이상일</t>
    <phoneticPr fontId="2" type="noConversion"/>
  </si>
  <si>
    <t>SNUH_103</t>
  </si>
  <si>
    <t>dysphagia, cough, DOE</t>
    <phoneticPr fontId="2" type="noConversion"/>
  </si>
  <si>
    <t>Esophagus and stomach, McKeown operation:
SQUAMOUS CELL CARCINOMA, moderately differentiated (G2), residual
- Neoadjuvant treatment: chemoradiation therapy
- Tumor regression grade: grade 1 (moderate regression)
- Location of tumor: lower thoracic
- Size of tumor: 0.1 x 0.1 cm (carcinoma portion), 4.4 x 4.0 x 0.2 cm (including dysplasia)
- Gross type: superficial
- Depth of invasion: invades mucosa (muscularis mucosa)
- Surgical margin: free from carcinoma
- Safety margin: proximal margin, 8.9 cm; distal margin, 2.7 cm; radial margin, 12 mm
- Number of metastatic lymph nodes: 0
- Number of examined lymph nodes: 61
  (peritumoral LN, 0/6; LN#2L, 0/2; LN#4L, 0/2; LN#5, 0/9; LN#7A, 0/4; LN#7B, 0/3; LN#8L, 0/3; LN#8M, 0/1; LN#15, 0/2; LN#17, 0/3; LN#106R, 0/4; LN#Rt. Level3, 0/2; LN#Rt. Level4, 0/6; LN#Lt. Level3, 0/6; LN#Lt. Level4, 0/8)
- Lymphatic invasion: not identified 
- Venous invasion: not identified 
- Perineural invasion: not identified 
- Tumor border: infiltrative
- Stromal reaction: none
- Intramural metastasis: not identified
- Precancerous lesion: mild to moderate dysplasia
Pathologic staging (AJCC 8th)
- pT category: ypT1a, invades lamina propria or muscularis mucosa
- pN category: ypN0, no metastasis in regional lymph nodes
Tissue labelled "bronchial artery", excision: No tumor involvement</t>
    <phoneticPr fontId="2" type="noConversion"/>
  </si>
  <si>
    <t>0.1 x 0.1 cm (carcinoma portion), 4.4 x 4.0 x 0.2 cm (including dysplasia)</t>
  </si>
  <si>
    <t xml:space="preserve">Robotic esophagectomy (McKeown) with 3 field LN dissection </t>
    <phoneticPr fontId="2" type="noConversion"/>
  </si>
  <si>
    <t>eso mass / gross LNs (perieso, Lt. gastric)</t>
    <phoneticPr fontId="2" type="noConversion"/>
  </si>
  <si>
    <t>periesophageal, perigastric LN</t>
    <phoneticPr fontId="2" type="noConversion"/>
  </si>
  <si>
    <t>박병국</t>
    <phoneticPr fontId="2" type="noConversion"/>
  </si>
  <si>
    <t>SNUH_097</t>
  </si>
  <si>
    <t>nausea, reflux, RT esophagitis</t>
    <phoneticPr fontId="2" type="noConversion"/>
  </si>
  <si>
    <t>Lung, liver</t>
    <phoneticPr fontId="2" type="noConversion"/>
  </si>
  <si>
    <t>Esophagus and stomach, Mckeown operation:
SQUAMOUS CELL CARCINOMA, moderately differentiated (G2), residual
- Neoadjuvant treatment: chemoradiation therapy 
- Tumor regression grade: grade 1 (moderate regression)
- Location of tumor: lower thoracic
- Size of tumor: 0.2 x 0.2 cm, 0.1 x 0.1 cm
- Gross type: diffuse superficial
- Depth of invasion: invades adventitia
- Surgical margin: free from carcinoma
- Safety margin: proximal margin, 8.9 cm; distal margin, 5.7 cm; radial margin, 4 mm
- Number of metastatic lymph nodes: 3
- Number of examined lymph nodes: 45
  (LN#2L, 0/2; LN#3P, 1/1; LN#4L, 0/1; LN#5, 0/6; LN#7, 0/4; LN#8L, 0/0; LN#8M, 0/0; LN#10R, 0/1; LN#15 0/2; LN#18 0/1; LN#19 0/0 (see note); LN#20 0/2; LN#106R 2/2; LN#115A 0/4; right level 3, 0/7; right level 4, 0/1; left level 3, 0/8; left level 4, 0/3; left paraaortic (Fro#1), 0/0)
- Lymphatic invasion: not identified 
- Venous invasion: extramural, peritumoral 
- Perineural invasion: not identified 
- Tumor border: infiltrative
- Stromal reaction: none
- Intramural metastasis: not identified
- Precancerous lesion: not identified
Pathologic staging (AJCC 8th)
- pT category: ypT3, invades adventitia
- pN category: ypN2, metastasis in 3-6 regional lymph nodes
Note) 
1. Histopathologic mapping procedure was performed.
2. Adrenal cortical rest was observed in the specimen labeled "LN#19".</t>
    <phoneticPr fontId="2" type="noConversion"/>
  </si>
  <si>
    <t>diffuse superficial</t>
  </si>
  <si>
    <t>0.2 x 0.2 cm, 0.1 x 0.1 cm</t>
  </si>
  <si>
    <t>Robot-assisted McKeown operation, 3-field LN dissection</t>
    <phoneticPr fontId="2" type="noConversion"/>
  </si>
  <si>
    <t>posterior paraaortic, right paracardial, and left gastic area</t>
  </si>
  <si>
    <t>홍봉수</t>
    <phoneticPr fontId="2" type="noConversion"/>
  </si>
  <si>
    <t>SNUH_093</t>
  </si>
  <si>
    <t>2018.11.22</t>
    <phoneticPr fontId="2" type="noConversion"/>
  </si>
  <si>
    <t>multiple metastasis?</t>
    <phoneticPr fontId="2" type="noConversion"/>
  </si>
  <si>
    <t>Esophagus, "distal esophagus", esophagectomy:
SQUAMOUS CELL CARCINOMA, moderately differentiated (G2), residual.
- Neoadjuvant treatment: chemoradiation therapy. 
- Tumor regression grade: grade 2 (minimal regression)
- Location of tumor: middle+lower thoracic
- Size of tumor: 5.0 x 3.1 x 0.9 cm. 
- Gross type: diffuse infiltrative
- Depth of invasion: invades adventitia
- Surgical margin: involved by carcinoma (radial margin)
- Safety margin: one margin, 1.6 cm; the other margin, 2.8 cm; radial margin, 0 mm
- Number of metastatic lymph nodes: 3
- Number of examined lymph nodes: 47
  (peritumoral LN, 0/1; LN#2L, 0/1; LN#4L, 0/2; LN#7, 0/1; LN#10R, 0/1; LN#15, 0/5; LN#106R, 2/4; Lt. level 3, 0/10; Lt. level 4, 0/5; Rt. Level 3, 0/5; Rt. Level 4, 0/9; "esophagus &amp; #7", 1/3)
- Lymphatic invasion: not identified 
- Venous invasion: not identified 
- Perineural invasion: mural, intratumoral
- Tumor border: infiltrative
- Stromal reaction: not identified
- Intramural metastasis: not identified
- Precancerous lesion: not identified
Pathologic staging (AJCC 8th)
- pT category: ypT3, invades adventitia
- pN category: ypN2, metastasis in 3-6 regional lymph nodes
Esophagus, "proximal esophagus", esophagectomy:
 No tumor involvement
Esophagus, "esophageal wall", excision: 
 Necroinflammatory materials with
  no carcinoma noted
Esophagus and stomach, "stomach", resection:
 No tumor involvement</t>
    <phoneticPr fontId="2" type="noConversion"/>
  </si>
  <si>
    <t>middle+lower thoracic</t>
  </si>
  <si>
    <t>5.0 x 3.1 x 0.9 cm</t>
    <phoneticPr fontId="2" type="noConversion"/>
  </si>
  <si>
    <t>Hybrid robot-assisted esophagectomy + 3 field LN dissection</t>
    <phoneticPr fontId="2" type="noConversion"/>
  </si>
  <si>
    <t>신영배</t>
    <phoneticPr fontId="2" type="noConversion"/>
  </si>
  <si>
    <t>SNUH_091</t>
  </si>
  <si>
    <t>dysphagia, reflux</t>
    <phoneticPr fontId="2" type="noConversion"/>
  </si>
  <si>
    <t>aspiration</t>
    <phoneticPr fontId="2" type="noConversion"/>
  </si>
  <si>
    <t>Lt upper paratracheal LN (2019/11/9) --&gt; chemotherapy refused</t>
    <phoneticPr fontId="2" type="noConversion"/>
  </si>
  <si>
    <t>retrotracheal LN dissection (2019/2/19)</t>
    <phoneticPr fontId="2" type="noConversion"/>
  </si>
  <si>
    <t>out</t>
    <phoneticPr fontId="2" type="noConversion"/>
  </si>
  <si>
    <t>Lt retrotracheal LN</t>
    <phoneticPr fontId="2" type="noConversion"/>
  </si>
  <si>
    <r>
      <t>hyponatremia d/t POI</t>
    </r>
    <r>
      <rPr>
        <sz val="10"/>
        <color theme="1"/>
        <rFont val="돋움"/>
        <family val="3"/>
        <charset val="129"/>
      </rPr>
      <t>를</t>
    </r>
    <r>
      <rPr>
        <sz val="10"/>
        <color theme="1"/>
        <rFont val="Arial"/>
        <family val="2"/>
      </rPr>
      <t xml:space="preserve"> </t>
    </r>
    <r>
      <rPr>
        <sz val="10"/>
        <color theme="1"/>
        <rFont val="돋움"/>
        <family val="3"/>
        <charset val="129"/>
      </rPr>
      <t>교정함</t>
    </r>
    <phoneticPr fontId="2" type="noConversion"/>
  </si>
  <si>
    <t>Esophagus, McKeown operation;
SQUAMOUS CELL CARCINOMAs, moderately differentiated (G2), residual, multifocal
- Neoadjuvant treatment: chemoradiation therapy. (C17-6853, S17-70181: SQUAMOUS CELL CARCINOMA, moderately differentiated)
- Tumor regression grade: grade 1 (moderate regression)
- Location of tumor: lower thoracic
- Size of tumor: up to 0.8 x 0.4 x 0.2  cm. 
- Gross type: unclassfiable
- Depth of invasion: invades submucosa; depth of submucosal invasion, 0.6 mm
- Surgical margin: free from carcinoma
- Safety margin: proximal margin, 4.8 cm; distal margin, 15.8 cm; radial margin, 3 mm
- Number of metastatic lymph nodes: 5
- Number of examined lymph nodes: 74
  (LN#2L, 0/8; LN#3P, 0/1; LN#4L, 1/7; LN#7, 1/12; LN#8L, 1/5; LN#8M, 0/1; LN#15,0/0; LN#16,0/0; LN#17,0/9; LN#18,0/3; LN#19,0/1; LN#106R,2/4; LN#RT.lv3,0/9; LN#RT.lv4,0/6; LN#LT.lv3,0/6; LN#LT.lv4,0/2)
- Lymphatic invasion: not identified
- Venous invasion: not identified 
- Perineural invasion: not identified 
- Tumor border: infiltrative
- Stromal reaction: none
- Intramural metastasis: not identified
- Precancerous lesion:not identified
Tissue labelled, "stomach wall mass", excision: 
Tissue labelled, "anastomosis site", excision:
 Gastric leiomyoma  
- Size: 0.5 x 0.4 x 0.3 cm
- Surgical margin: free from tumor
Pathologic staging (AJCC 8th)
- pT category: ypT1b, invades submucosa
- pN category: ypN2, metastasis in 3-6 regional lymph nodes
Note) Histopathologic mapping procedure was performed.</t>
    <phoneticPr fontId="2" type="noConversion"/>
  </si>
  <si>
    <t>0.8 x 0.4 x 0.2 cm</t>
    <phoneticPr fontId="2" type="noConversion"/>
  </si>
  <si>
    <t>Esophagectomy (Mckeown) with 3 field LN dissection</t>
    <phoneticPr fontId="2" type="noConversion"/>
  </si>
  <si>
    <t>eso. mass / gross LNs (7)</t>
    <phoneticPr fontId="2" type="noConversion"/>
  </si>
  <si>
    <t>Metastatic LAP in subcarinal area</t>
  </si>
  <si>
    <r>
      <t>Lt. adrenal gland adenoma</t>
    </r>
    <r>
      <rPr>
        <sz val="10"/>
        <color theme="1"/>
        <rFont val="돋움"/>
        <family val="3"/>
        <charset val="129"/>
      </rPr>
      <t>가</t>
    </r>
    <r>
      <rPr>
        <sz val="10"/>
        <color theme="1"/>
        <rFont val="Arial"/>
        <family val="2"/>
      </rPr>
      <t xml:space="preserve"> </t>
    </r>
    <r>
      <rPr>
        <sz val="10"/>
        <color theme="1"/>
        <rFont val="돋움"/>
        <family val="3"/>
        <charset val="129"/>
      </rPr>
      <t>있으나</t>
    </r>
    <r>
      <rPr>
        <sz val="10"/>
        <color theme="1"/>
        <rFont val="Arial"/>
        <family val="2"/>
      </rPr>
      <t xml:space="preserve"> 10</t>
    </r>
    <r>
      <rPr>
        <sz val="10"/>
        <color theme="1"/>
        <rFont val="돋움"/>
        <family val="3"/>
        <charset val="129"/>
      </rPr>
      <t>년째</t>
    </r>
    <r>
      <rPr>
        <sz val="10"/>
        <color theme="1"/>
        <rFont val="Arial"/>
        <family val="2"/>
      </rPr>
      <t xml:space="preserve"> </t>
    </r>
    <r>
      <rPr>
        <sz val="10"/>
        <color theme="1"/>
        <rFont val="돋움"/>
        <family val="3"/>
        <charset val="129"/>
      </rPr>
      <t>두고보는</t>
    </r>
    <r>
      <rPr>
        <sz val="10"/>
        <color theme="1"/>
        <rFont val="Arial"/>
        <family val="2"/>
      </rPr>
      <t xml:space="preserve"> </t>
    </r>
    <r>
      <rPr>
        <sz val="10"/>
        <color theme="1"/>
        <rFont val="돋움"/>
        <family val="3"/>
        <charset val="129"/>
      </rPr>
      <t>중이라</t>
    </r>
    <r>
      <rPr>
        <sz val="10"/>
        <color theme="1"/>
        <rFont val="Arial"/>
        <family val="2"/>
      </rPr>
      <t>.</t>
    </r>
    <phoneticPr fontId="2" type="noConversion"/>
  </si>
  <si>
    <t>백정기</t>
    <phoneticPr fontId="2" type="noConversion"/>
  </si>
  <si>
    <t>SNUH_090</t>
  </si>
  <si>
    <r>
      <t>cough, dyspnea,</t>
    </r>
    <r>
      <rPr>
        <sz val="10"/>
        <color theme="1"/>
        <rFont val="Arial"/>
        <family val="2"/>
      </rPr>
      <t xml:space="preserve"> reflux</t>
    </r>
    <phoneticPr fontId="2" type="noConversion"/>
  </si>
  <si>
    <t>2018.10.26</t>
    <phoneticPr fontId="2" type="noConversion"/>
  </si>
  <si>
    <t>esophageal cancer failure -&gt; respiratory failure</t>
    <phoneticPr fontId="2" type="noConversion"/>
  </si>
  <si>
    <t>Both lung, left pleural seeding, lower neck (SCL?)</t>
    <phoneticPr fontId="2" type="noConversion"/>
  </si>
  <si>
    <t>pall FP #1</t>
    <phoneticPr fontId="2" type="noConversion"/>
  </si>
  <si>
    <t>in-field &amp; out</t>
    <phoneticPr fontId="2" type="noConversion"/>
  </si>
  <si>
    <t>lower neck, both lung, left pleural seeding, 4R</t>
    <phoneticPr fontId="2" type="noConversion"/>
  </si>
  <si>
    <t>Esopahgus and stomach, esophagectomy:
SQUAMOUS CELL CARCINOMA, moderately differentiated(G2), (in level VI lymph nodes and thyroid)
- Neoadjuvant treatment: chemoradiation therapy
- Tumor regression grade: grade 1 (moderate regression)
- Depth of invasion: no residual tumor in esophageal wall
- Surgical margin: free from carcinoma
- Number of metastatic lymph nodes: 1
- Number of examined lymph nodes: 99
  (LN#3p, 0/3; LN#4L, 0/1; LN#5, 0/7; LN#7, 0/9; LN#8L, 0/1; LN#8M, 0/3; LN#10R, 0/1; LN#16, 0/0; LN#17, 0/15; LN#18, 0/3; LN#19, 0/2; LN#106R, 0/0; Rt. Level LN#3, 0/16; Rt. Level LN#4, 0/19; Rt. Level LN#5, 0/1; Rt. Level LN#6, 1/4; Lt. Level LN#3, 0/5; Lt. Level LN#4, 0/9)
- Lymphatic invasion: not identified 
- Venous invasion: extramural, peritumoral
- Perineural invasion: not identified 
- Tumor border: infiltrative
- Stromal reaction: none
- Intramural metastasis: not identified
- Precancerous lesion: not identified
Tissue labelled, "Rt. thyroid", excision:
 METASTATIC SQUMOUS CELL CARCINOMA
- Size: 3.5 x 2.6 x 1.8cm
- Surgical margin: free from carcinoma
Pathologic staging (AJCC 8th)
- pT category: ypT0, no evidence of primary tumor
- pN category: ypN1, metastasis in 1-2 regional lymph nodes
- pM category: ypM1a, Metastasis to one site or organ is identified without peritoneal metastasis
Note) Histopathologic mapping procedure was performed</t>
    <phoneticPr fontId="2" type="noConversion"/>
  </si>
  <si>
    <t>ypT0N1M1</t>
    <phoneticPr fontId="2" type="noConversion"/>
  </si>
  <si>
    <t>Robot-asssisted esophagectomy (Mckeown) + 3-field LN dissection</t>
    <phoneticPr fontId="2" type="noConversion"/>
  </si>
  <si>
    <t>SCL/med</t>
    <phoneticPr fontId="2" type="noConversion"/>
  </si>
  <si>
    <t>med + scl LN elective</t>
    <phoneticPr fontId="2" type="noConversion"/>
  </si>
  <si>
    <t>eso. mass / gross LN</t>
    <phoneticPr fontId="2" type="noConversion"/>
  </si>
  <si>
    <t>Rt. Neck lvl VI</t>
    <phoneticPr fontId="2" type="noConversion"/>
  </si>
  <si>
    <t>김기현</t>
    <phoneticPr fontId="2" type="noConversion"/>
  </si>
  <si>
    <t>SNUH_088</t>
  </si>
  <si>
    <t>dysphagia</t>
    <phoneticPr fontId="2" type="noConversion"/>
  </si>
  <si>
    <t>Rt. SCN</t>
    <phoneticPr fontId="2" type="noConversion"/>
  </si>
  <si>
    <t>Rt. SCN (2019/1/21)</t>
    <phoneticPr fontId="2" type="noConversion"/>
  </si>
  <si>
    <t>CCRT -&gt; DP #3</t>
    <phoneticPr fontId="2" type="noConversion"/>
  </si>
  <si>
    <t xml:space="preserve">Esophagus, McKeown operation;
SQUAMOUS CELL CARCINOMA, moderately differentiated (G2)
- Neoadjuvant treatment: chemoradiation therapy
- Tumor regression grade: grade 2 (minimal regression)
- Location of tumor: middle thoracic
- Size of tumor: 1.6 x 1.2 x 0.9 cm
- Gross type: protruding
- Depth of invasion: invades muscularis propria
- Surgical margin: free from carcinoma
- Safety margin: proximal margin, 5.9 cm; distal margin, 9.2 cm; radial margin, 1.2 mm
- Number of metastatic lymph nodes: 8
- Number of examined lymph nodes: 113
  (LN#2L, 1/3; LN#3P, 0/1; LN#4L, 0/4; LN#5, 0/10; LN#7, 1/14; LN#8L, 1/5; LN#8M, 1/2; LN#9L, 0/2; LN#16, 1/3; LN#17, 1/12; LN#19, 0/5; Rt. recurrrent laryngeal LN, 1/11; Rt. level#3, 0/18; Rt. level#4, 0/6; Lt. level#3, 0/5; Lt. level#4, 1/10; Bronchial artery, 0/2)
- Lymphatic invasion: not identified 
- Venous invasion: not identified 
- Perineural invasion: mural, intratumoral
- Tumor border: expanding
- Stromal reaction: none
- Intramural metastasis: not identified
- Precancerous lesion: not identified
Pathologic staging (AJCC 8th)
- ypT category: ypT2, invades muscularis propria
- ypN category: ypN3, metastasis in 7 or more regional lymph nodes
Tissue labelled "bronchial artery", excision: No tumor involvement
Note) Histopathologic mapping procedure was performed. </t>
    <phoneticPr fontId="2" type="noConversion"/>
  </si>
  <si>
    <t>1.6 x 1.2 x 0.9 cm</t>
  </si>
  <si>
    <t>Robotic esophagectomy with 3 field LN dissection</t>
  </si>
  <si>
    <t>med LN elective + SCL</t>
    <phoneticPr fontId="2" type="noConversion"/>
  </si>
  <si>
    <t>eso. mass / Lt. Scl LN</t>
    <phoneticPr fontId="2" type="noConversion"/>
  </si>
  <si>
    <t>Lt SCN</t>
    <phoneticPr fontId="2" type="noConversion"/>
  </si>
  <si>
    <t>강종식</t>
    <phoneticPr fontId="2" type="noConversion"/>
  </si>
  <si>
    <t>SNUH_086</t>
  </si>
  <si>
    <t>lung LUL</t>
    <phoneticPr fontId="2" type="noConversion"/>
  </si>
  <si>
    <t>Lung (2020/2/19)</t>
    <phoneticPr fontId="2" type="noConversion"/>
  </si>
  <si>
    <t>VATS metastasectomy (LLL basal segmentectomy) 19.9.27 --&gt; post op DP #4 (19.12.2~20.2.5)</t>
    <phoneticPr fontId="2" type="noConversion"/>
  </si>
  <si>
    <t>Lt mediastinal pleura, likely pleural seeding or 9L LNE / LUL lung</t>
    <phoneticPr fontId="2" type="noConversion"/>
  </si>
  <si>
    <t>Esopahgus, esophagectomy:
SQUAMOUS CELL CARCINOMAS (x2), moderately differentiated (G2), residual
- Neoadjuvant treatment: chemoradiation therapy
- Tumor regression grade: 3 (poor or no response; extensive residual cancer with no evident tumor regression)
- Location of tumor: lower thoracic 
- Size of tumor: 4.0 x 2.5 x 0.5 cm (lower) and 3.0 x 2.5 x 1.1 cm (upper)
- Gross type: ulceroinfiltrative 
- Depth of invasion: invades adventitia
- Surgical margin: free from carcinoma
- Safety margin: proximal margin, 6.5 cm; distal margin, 3.5 cm; radial margin, 0.6 mm
- Number of metastatic lymph nodes: 4
- Number of examined lymph nodes: 47
  (LN#2L, 0/1; LN#3L, 0/8; LN#4L, 1/1; LN#5, 0/2; LN#7A, 0/5; LN#7B, 0/5; LN#8L, 0/0; LN#8M, 1/2; LN#8U, 1/1; LN#17, 1/1; LN#18, 0/1; LN#19, 0/2; LN#20, 0/0; LN#15, 0/0; LN#16, 0/0; LN#106R, 0/4; LN#R4, 0/8; LN#L4, 0/6)
- Lymphatic invasion: mural, intratumoral
- Venous invasion: not identified 
- Perineural invasion: mural, intratumoral 
- Tumor border: infiltrative
- Stromal reaction: none
- Intramural metastasis: not identified
- Precancerous lesion: not identified
Pathologic staging (AJCC 8th)
- pT category: ypT3, invades adventitia
- pN category: ypN2, metastasis in 3-6 regional lymph nodes
Tissue labelled, "Bronchial artery", excision: 
 No tumor involvement</t>
    <phoneticPr fontId="2" type="noConversion"/>
  </si>
  <si>
    <t xml:space="preserve">lower thoracic </t>
  </si>
  <si>
    <t xml:space="preserve">ulceroinfiltrative </t>
  </si>
  <si>
    <t>4.0 x 2.5 x 0.5 cm (lower) and 3.0 x 2.5 x 1.1 cm (upper)</t>
  </si>
  <si>
    <t>grade: 3 (poor or no response; extensive residual cancer with no evident tumor regression)</t>
  </si>
  <si>
    <t>med LN</t>
    <phoneticPr fontId="2" type="noConversion"/>
  </si>
  <si>
    <t>med LN elective</t>
    <phoneticPr fontId="2" type="noConversion"/>
  </si>
  <si>
    <t>김연근</t>
    <phoneticPr fontId="2" type="noConversion"/>
  </si>
  <si>
    <t>SNUH_085</t>
  </si>
  <si>
    <t>aspiration, cough</t>
    <phoneticPr fontId="2" type="noConversion"/>
  </si>
  <si>
    <t>retroperitoneal LN</t>
    <phoneticPr fontId="2" type="noConversion"/>
  </si>
  <si>
    <t>pall. DFP #4 (18.12.18-19.2.21)</t>
    <phoneticPr fontId="2" type="noConversion"/>
  </si>
  <si>
    <t>3A, 4, 5, 11R, retrocrural area, and necrotic LNE around celiac axis</t>
  </si>
  <si>
    <t>Esophagus and stomach, esophagectomy:
SQUAMOUS CELL CARCINOMA, moderately differentiated (G2), residual
- Post-chemoradiation therapy status (S 17-69118: Squamous cell carcinoma, moderately differentiated)
- Neoadjuvant treatment: chemoradiation therapy
- Tumor regression grade: grade 2 (minimal regression)
- Location of tumor: lower thoracic
- Size of tumor: 5.4 x 2.0 x 1.0 cm
- Gross type: flat
- Depth of invasion: invades adventitia
- Surgical margin: free from carcinoma
- Safety margin: proximal margin, 5.6 cm; distal margin, 9.3 cm; radial margin, 0.1 mm
- Number of metastatic lymph nodes: 11
- Number of examined lymph nodes: 43
  (LN#2L, 1/1; LN#3P, 0/1; LN#4L, 0/2; LN#5, 0/8; LN#7, 3/5; LN#8L, 0/1; LN#8M, 1/1; LN#10R, 0/1; LN#15, 0/0; LN#16, 0/0; LN#17, 3/3; LN#106R, 1/3; LN#Rt. Level 3, 0/2; LN#Rt. Level 4, 1/2; LN#Lt. level 3, 0/6; LN#Lt. level 4, 1/6; LN#Rt. 3A, 0/1)
- Lymphatic invasion: mural, intratumoral
- Venous invasion: extramural, peritumoral
- Perineural invasion: mural, intratumoral
- Tumor border: infiltrative
- Stromal reaction: lymphocytic
- Intramural metastasis: not identified
- Precancerous lesion: not identified
Pathologic staging (AJCC 8th)
- pT category: ypT3, invades adventitia
- pN category: ypN3, metastasis in 7 or more regional lymph nodes
Note) Histopathologic mapping procedure was performed.</t>
    <phoneticPr fontId="2" type="noConversion"/>
  </si>
  <si>
    <t>flat</t>
  </si>
  <si>
    <t>5.4 x 2.0 x 1.0 cm</t>
  </si>
  <si>
    <t>SCL/med (no elective)</t>
    <phoneticPr fontId="2" type="noConversion"/>
  </si>
  <si>
    <t>right SCN, 2B, 3A, 4B, 6, 8, 10L, 11L, r/o Lt paraaortic</t>
    <phoneticPr fontId="2" type="noConversion"/>
  </si>
  <si>
    <t>cT2N3M1</t>
    <phoneticPr fontId="2" type="noConversion"/>
  </si>
  <si>
    <t>30-34</t>
    <phoneticPr fontId="2" type="noConversion"/>
  </si>
  <si>
    <t>지영관</t>
    <phoneticPr fontId="2" type="noConversion"/>
  </si>
  <si>
    <t>SNUH_084</t>
  </si>
  <si>
    <t>lung BLL</t>
    <phoneticPr fontId="2" type="noConversion"/>
  </si>
  <si>
    <t>wedge resection --&gt; pall FP #4</t>
    <phoneticPr fontId="2" type="noConversion"/>
  </si>
  <si>
    <t>Esophagus and stomach, McKeown operation;
Squamous cell carcinoma, poorly differentiated 
- Neoadjuvant treatment: chemoradiation therapy. 
- Tumor regression grade: grade 1 (near total regression)
- Gross type: ulceroinfiltrative
- Invasion depth: adventitia
- ypT stage (AJCC 7th): ypT3
- Surgical margin: free from carcinoma
- Number of metastatic lymph nodes: 0
- Number of examined lymph nodes: 38
  (peritumoral LN, 0/3; LN#1L, 0/0; LN#2L, 0/1; LN#4L, 0/0; LN#5, 0/1; LN#7, 0/1; LN#8L, 0/2; LN#8M, 0/1; LN#16, 0/4; LN#17, 0/12; LN#18, 0/8; LN#19, 0/2; "Rt. Recurrent laryngeal LN", 0/2; "Lt. supraclavicular LN", 0/1; )
- ypN stage (AJCC 7th): ypN0, no metastasis in regional lymph nodes
- Lymphatic invasion: not identified 
- Venous invasion: not identified 
- Perineural invasion: not identified 
- Tumor border: infiltrative
- Stromal reaction: none
- Intramural metastasis: not identified
Note) Histopathologic mapping procedure was performed</t>
    <phoneticPr fontId="2" type="noConversion"/>
  </si>
  <si>
    <t>grade 1 (near total regression)</t>
  </si>
  <si>
    <t>McKeown operation + 2-field LN dissection</t>
    <phoneticPr fontId="2" type="noConversion"/>
  </si>
  <si>
    <t>Eso mass, 7, subcarinal , Lt. SCN</t>
  </si>
  <si>
    <t xml:space="preserve">left supraclavicular fossa, mediastinal 7, 8 nodal station. </t>
    <phoneticPr fontId="2" type="noConversion"/>
  </si>
  <si>
    <t>28-33</t>
    <phoneticPr fontId="2" type="noConversion"/>
  </si>
  <si>
    <t>김영동</t>
    <phoneticPr fontId="2" type="noConversion"/>
  </si>
  <si>
    <t>SNUH_081</t>
  </si>
  <si>
    <t>Esophagus, esophageal surgery:
 No residual tumor (ypT0)
  - Neoadjuvant treatment: yes, chemoradiation therapy status
     (S14-70: invasive squamous cell carcinoma, moderately differentiated)
  - Tumor regression grade: grade 0 (complete response)
  - Surgical margin: free from carcinoma
  - Lymph node: no metastasis in 37 lymph nodes (ypN0)
     (LN#1B, 0/4; LN#2L, 0/1; LN#3P, 0/0; LN#4L, 0/4; LN#7, 0/9; LN#8L, 0/5; 
      LN#8M, 0/3; LN#9L, 0/1; LN#10L, 0/2; LN#17, 0/8; Rt. recurrent laryngeal LN, 0/0; )</t>
    <phoneticPr fontId="2" type="noConversion"/>
  </si>
  <si>
    <t>eso. mass at mid-thoracic area, para-eso LN</t>
  </si>
  <si>
    <t>r/o nodal metastasis in paraesophageal nodal station</t>
  </si>
  <si>
    <t>28-30</t>
    <phoneticPr fontId="2" type="noConversion"/>
  </si>
  <si>
    <t>김용진</t>
    <phoneticPr fontId="2" type="noConversion"/>
  </si>
  <si>
    <t>SNUH_079</t>
  </si>
  <si>
    <t>LLL nodule / Lt adrenal gland</t>
  </si>
  <si>
    <t>pall FP #1 --&gt; docetaxel #2</t>
    <phoneticPr fontId="2" type="noConversion"/>
  </si>
  <si>
    <t>prev op site (local) / med LN / LLL nodule / Lt adrenal gland</t>
    <phoneticPr fontId="2" type="noConversion"/>
  </si>
  <si>
    <r>
      <t xml:space="preserve">Esophagus, esophagectomy:
1. SQUAMOUS CELL CARCINOMA, moderately differentiated (G2), residual
- Neoadjuvant treatment: chemoradiation therapy
- Tumor regression grade: grade 2 (minimal regression)
- Location of tumor: lower thoracic
- Size of tumor: up to 2.0 x 1.7 x 0.4 cm (carcinoma portion), including dysplasia (3.6 x 3.0 x 0.4 cm)
- Gross type: superficial
- Depth of invasion: invades submucosa; depth of submucosal invasion, 3 mm
- Surgical margin: free from carcinoma and dysplasia
- Safety margin: proximal margin, 9 cm (from dysplasia) 6.2 cm (from carcinoma); distal margin, 8 cm (from dysplasia), 5.1 cm (from carcinoma); radial margin, 5 mm
- Number of metastatic lymph nodes: 1
- Number of examined lymph nodes: 70
  (peritumoral LN, 0/2; LN#7, 0/9; LN#2L, 0/0; LN#3P, 0/1; LN#4L, 0/1; LN#8L, 0/4; LN#8M, 0/2; LN#16, 1/3; LN#17, 0/14; LN#106R, 0/3; LN Rt. Level 3, 0/7; LN Rt. Level 4, 0/4; LN Lt. level 3, 0/18; LN Lt. level 4, 0/2)
- Lymphatic invasion: mural
- Venous invasion: not identified 
- Perineural invasion: not identified 
- Tumor border: infiltrative
- Stromal reaction: none
- Intramural metastasis: not identified
- Precancerous lesion: high grade dysplasia
Pathologic staging (AJCC 8th)
- pT category: ypT1b, invades submucosa
- pN category: ypN1, metastasis in 1-2 regional lymph nodes
2. No residual tumor (note)
- Neoadjuvant treatment: chemoradiation therapy
- Tumor regression grade: grade 0 (complete regression)
- Location of lesion: mid to lower thoracic
- Surgical margin: free from  dysplasia
- Lymphatic invasion: not identified
- Venous invasion: not identified 
- Perineural invasion: not identified 
- Intramural metastasis: not identified
- residual dysplasia: low grade (0.4 x 0.4 x 0.05 cm)
(note) </t>
    </r>
    <r>
      <rPr>
        <sz val="10"/>
        <color theme="1"/>
        <rFont val="돋움"/>
        <family val="3"/>
        <charset val="129"/>
      </rPr>
      <t>생검된</t>
    </r>
    <r>
      <rPr>
        <sz val="10"/>
        <color theme="1"/>
        <rFont val="Arial"/>
        <family val="2"/>
      </rPr>
      <t xml:space="preserve"> </t>
    </r>
    <r>
      <rPr>
        <sz val="10"/>
        <color theme="1"/>
        <rFont val="돋움"/>
        <family val="3"/>
        <charset val="129"/>
      </rPr>
      <t>종괴</t>
    </r>
    <r>
      <rPr>
        <sz val="10"/>
        <color theme="1"/>
        <rFont val="Arial"/>
        <family val="2"/>
      </rPr>
      <t xml:space="preserve"> </t>
    </r>
    <r>
      <rPr>
        <sz val="10"/>
        <color theme="1"/>
        <rFont val="돋움"/>
        <family val="3"/>
        <charset val="129"/>
      </rPr>
      <t>중</t>
    </r>
    <r>
      <rPr>
        <sz val="10"/>
        <color theme="1"/>
        <rFont val="Arial"/>
        <family val="2"/>
      </rPr>
      <t xml:space="preserve"> proximal</t>
    </r>
    <r>
      <rPr>
        <sz val="10"/>
        <color theme="1"/>
        <rFont val="돋움"/>
        <family val="3"/>
        <charset val="129"/>
      </rPr>
      <t>에</t>
    </r>
    <r>
      <rPr>
        <sz val="10"/>
        <color theme="1"/>
        <rFont val="Arial"/>
        <family val="2"/>
      </rPr>
      <t xml:space="preserve"> </t>
    </r>
    <r>
      <rPr>
        <sz val="10"/>
        <color theme="1"/>
        <rFont val="돋움"/>
        <family val="3"/>
        <charset val="129"/>
      </rPr>
      <t>위치했던</t>
    </r>
    <r>
      <rPr>
        <sz val="10"/>
        <color theme="1"/>
        <rFont val="Arial"/>
        <family val="2"/>
      </rPr>
      <t xml:space="preserve"> </t>
    </r>
    <r>
      <rPr>
        <sz val="10"/>
        <color theme="1"/>
        <rFont val="돋움"/>
        <family val="3"/>
        <charset val="129"/>
      </rPr>
      <t>종괴는</t>
    </r>
    <r>
      <rPr>
        <sz val="10"/>
        <color theme="1"/>
        <rFont val="Arial"/>
        <family val="2"/>
      </rPr>
      <t xml:space="preserve"> </t>
    </r>
    <r>
      <rPr>
        <sz val="10"/>
        <color theme="1"/>
        <rFont val="돋움"/>
        <family val="3"/>
        <charset val="129"/>
      </rPr>
      <t>남아있지</t>
    </r>
    <r>
      <rPr>
        <sz val="10"/>
        <color theme="1"/>
        <rFont val="Arial"/>
        <family val="2"/>
      </rPr>
      <t xml:space="preserve"> </t>
    </r>
    <r>
      <rPr>
        <sz val="10"/>
        <color theme="1"/>
        <rFont val="돋움"/>
        <family val="3"/>
        <charset val="129"/>
      </rPr>
      <t>않아</t>
    </r>
    <r>
      <rPr>
        <sz val="10"/>
        <color theme="1"/>
        <rFont val="Arial"/>
        <family val="2"/>
      </rPr>
      <t xml:space="preserve"> complete regression</t>
    </r>
    <r>
      <rPr>
        <sz val="10"/>
        <color theme="1"/>
        <rFont val="돋움"/>
        <family val="3"/>
        <charset val="129"/>
      </rPr>
      <t>으로</t>
    </r>
    <r>
      <rPr>
        <sz val="10"/>
        <color theme="1"/>
        <rFont val="Arial"/>
        <family val="2"/>
      </rPr>
      <t xml:space="preserve"> </t>
    </r>
    <r>
      <rPr>
        <sz val="10"/>
        <color theme="1"/>
        <rFont val="돋움"/>
        <family val="3"/>
        <charset val="129"/>
      </rPr>
      <t>평가합니다</t>
    </r>
    <r>
      <rPr>
        <sz val="10"/>
        <color theme="1"/>
        <rFont val="Arial"/>
        <family val="2"/>
      </rPr>
      <t xml:space="preserve">.   </t>
    </r>
    <phoneticPr fontId="2" type="noConversion"/>
  </si>
  <si>
    <t>2.0 x 1.7 x 0.4 cm</t>
    <phoneticPr fontId="2" type="noConversion"/>
  </si>
  <si>
    <t>Esophagectomy with 3 field LN dissection</t>
  </si>
  <si>
    <t>subcarinal, 4R, 4L, paraaortic area</t>
  </si>
  <si>
    <t>28-33, 38-41</t>
    <phoneticPr fontId="2" type="noConversion"/>
  </si>
  <si>
    <t>신호철</t>
    <phoneticPr fontId="2" type="noConversion"/>
  </si>
  <si>
    <t>SNUH_078</t>
  </si>
  <si>
    <t># Esophageal ca (SqCC, UI 22-27cm), cT3N0M0</t>
  </si>
  <si>
    <r>
      <t>DWD (MI</t>
    </r>
    <r>
      <rPr>
        <sz val="10"/>
        <color theme="1"/>
        <rFont val="돋움"/>
        <family val="3"/>
        <charset val="129"/>
      </rPr>
      <t>로</t>
    </r>
    <r>
      <rPr>
        <sz val="10"/>
        <color theme="1"/>
        <rFont val="Arial"/>
        <family val="2"/>
      </rPr>
      <t xml:space="preserve"> </t>
    </r>
    <r>
      <rPr>
        <sz val="10"/>
        <color theme="1"/>
        <rFont val="돋움"/>
        <family val="3"/>
        <charset val="129"/>
      </rPr>
      <t>사망</t>
    </r>
    <r>
      <rPr>
        <sz val="10"/>
        <color theme="1"/>
        <rFont val="Arial"/>
        <family val="2"/>
      </rPr>
      <t>)</t>
    </r>
    <phoneticPr fontId="2" type="noConversion"/>
  </si>
  <si>
    <r>
      <t>MI</t>
    </r>
    <r>
      <rPr>
        <sz val="10"/>
        <color theme="1"/>
        <rFont val="돋움"/>
        <family val="3"/>
        <charset val="129"/>
      </rPr>
      <t>로</t>
    </r>
    <r>
      <rPr>
        <sz val="10"/>
        <color theme="1"/>
        <rFont val="Arial"/>
        <family val="2"/>
      </rPr>
      <t xml:space="preserve"> </t>
    </r>
    <r>
      <rPr>
        <sz val="10"/>
        <color theme="1"/>
        <rFont val="돋움"/>
        <family val="3"/>
        <charset val="129"/>
      </rPr>
      <t>사망</t>
    </r>
    <phoneticPr fontId="2" type="noConversion"/>
  </si>
  <si>
    <t>Esophagus, esophagectomy:
SQUAMOUS CELL CARCINOMA, moderately differentiated (G2), residual
- Neoadjuvant treatment: chemoradiation therapy
- Tumor regression grade: grade 1 (moderate regression)
- Location of tumor: middle thoracic
- Size of tumor: 0.5 x 0.5 x 0.05 cm
- Gross type: unclassfiable
- Depth of invasion: invades muscularis propria
- Surgical margin: free from carcinoma
- Safety margin: proximal margin, 7.7 cm; distal margin, 12.3 cm; radial margin, 4 mm
- Number of metastatic lymph nodes: 0
- Number of examined lymph nodes: 58
  (LN#2L, 0/0; LN#3P, 0/2; LN#4L, 0/2; LN#5, 0/8; LN#7, 0/0; LN#8L, 0/3; LN#8M, 0/1; LN#16, 0/5; LN#17, 0/8; LN#18, 0/5; LN#106R, 0/6; LN Rt. level 3, 0/3; LN Rt. level 4, 0/7; LN Lt. level 3, 0/3; LN Lt. level 4, 0/5)
- Lymphatic invasion: not identified 
- Venous invasion: not identified 
- Perineural invasion: not identified 
- Tumor border: infiltrative
- Stromal reaction: none
- Intramural metastasis: not identified
- Precancerous lesion: not identified
Pathologic staging (AJCC 8th)
- pT category: ypT2, invades muscularis propria
- pN category: ypN0, no metastasis in regional lymph nodes
Note) Histopathologic mapping procedure was performed.</t>
    <phoneticPr fontId="2" type="noConversion"/>
  </si>
  <si>
    <t>0.5 x 0.5 x 0.05 cm</t>
  </si>
  <si>
    <t>Robotic esophagectomy with 3-field LN dissection</t>
  </si>
  <si>
    <t>cT3N0</t>
    <phoneticPr fontId="2" type="noConversion"/>
  </si>
  <si>
    <t>22, 27-30</t>
    <phoneticPr fontId="2" type="noConversion"/>
  </si>
  <si>
    <t>황창연</t>
    <phoneticPr fontId="2" type="noConversion"/>
  </si>
  <si>
    <t>SNUH_072</t>
  </si>
  <si>
    <t>#. Esophageal cancer (SqCC, UI 20cm), cT3N0M0
 s/p feeding jejunostomy (2018/3/2)</t>
    <phoneticPr fontId="2" type="noConversion"/>
  </si>
  <si>
    <t>voice problem (+), cough (+)</t>
  </si>
  <si>
    <t>Esophagus and stomach, Ivor-Lewis operation;
No residual tumor, 
- Neoadjuvant treatment: chemoradiation therapy. 
- Tumor regression grade: grade 0 (complete regression)
- Depth of invasion: no residual tumor
- Surgical margin: free from carcinoma
- Number of metastatic lymph nodes: 0
- Number of examined lymph nodes: 62
  (LN#2L,0/3; LN#3P,0/0; LN#4L,0/0; LN#5,0/4; LN#7,0/4; LN#8L,0/5; LN#9L,0/3; LN#15,0/7; LN#16,0/1; LN#17,0/9; LN#18,0/1; LN#106R,0/4; LN20,0/1; Lt. Level#3,0/2; Lt. Level#4,0/11; Rt. Level#3,0/2; Rt. Level#4,0/5; )
- Lymphatic invasion: not identified 
- Venous invasion: not identified 
- Perineural invasion: not identified 
- Tumor border: not applicable
- Stromal reaction: not applicable
- Intramural metastasis: not identified
- Precancerous lesion: not identified
Pathologic staging (AJCC 8th)
- pT category: ypT0, no evidence of primary tumor
- pN category: ypN0, no metastasis in regional lymph nodes
Note) Histopathologic mapping procedure was performed</t>
    <phoneticPr fontId="2" type="noConversion"/>
  </si>
  <si>
    <t>Hybrid robot-assisted esophagectomy, 3-field LN dissection</t>
    <phoneticPr fontId="2" type="noConversion"/>
  </si>
  <si>
    <t>김미영</t>
    <phoneticPr fontId="2" type="noConversion"/>
  </si>
  <si>
    <t>SNUH_071</t>
  </si>
  <si>
    <t>pleura</t>
    <phoneticPr fontId="2" type="noConversion"/>
  </si>
  <si>
    <t>Rt pleural nodules</t>
    <phoneticPr fontId="0" type="noConversion"/>
  </si>
  <si>
    <t>Esophagus and stomach, Ivor-Lewis operation:
 SQUAMOUS CELL CARCINOMA, well differentiated
  - Neoadjuvant treatment: yes, chemoradiation therapy status
     (S13-43805: Squamous cell carcinoma, moderately differentiated)
  - Tumor regression grade: grade 2 (minimal response)
  - Gross type: ulcerative and localized
  - Location of tumor: lower thoracic (4.4cm from GE junction)
  - Size of tumor: 3.6 x 2.3 x 1.1cm
  - Depth of invasion (AJCC 7th ed.):
     invades adventitia (rpT3)
  - Surgical margin: free from carcinoma
     (safety margin: proximal, 1.4cm; distal, 11.3cm; radial, 2mm)
  - Lymph node: metastasis in two out of 65 lymph nodes (rpN1)
     (Rt. level 3, 0/4; Rt. level 4, 0/7; Rt. level 5, 0/10; 
      Lt. level 3, 0/2; Lt. level 4, 0/4; Lt. level 5, 0/3; 
      LN#2L, 0/2; LN#4L, 0/2; LN#5, 0/2; LN#7, 0/3; LN#8L, 0/1;
      LN#8M, 0/0; LN#16, 0/5; LN#17, 0/10; LN#19, 0/0;
      Rt. recurrent laryngeal, 2/6; peritumoral, 0/4)
  - Lymphatic invasion: not identified
  - Venous invasion: present, mural, intratumoral, peritumoral
  - Perineural invasion: present, mural, intratumoral, peritumoral
  - Tumor border: infiltrative
  - Stromal reaction: none
  - Intramural metastasis: absent
  - Precancerous lesion: not identified
Tissue labeled, "proximal esophagus", segmental resection:
 No tumor involvement
Tissue labeled, "stomach fundus", segmental resection:
 No tumor involvement</t>
  </si>
  <si>
    <t>ulcerative</t>
  </si>
  <si>
    <t>sqcc wd</t>
  </si>
  <si>
    <t>3.6 x 2.3 x 1.1cm</t>
  </si>
  <si>
    <t>2, minimal response</t>
  </si>
  <si>
    <t>ypT3N1 (TRG 2)</t>
  </si>
  <si>
    <t>mediastinum (2cm/0.5cm; 1cm; 1cm)</t>
    <phoneticPr fontId="0" type="noConversion"/>
  </si>
  <si>
    <t>2R, 7</t>
    <phoneticPr fontId="0" type="noConversion"/>
  </si>
  <si>
    <t>조성일</t>
  </si>
  <si>
    <t>SNUH_053</t>
  </si>
  <si>
    <t>#. Esophageal ca (SqCC, UI 20cm), cT1aN1 CCRT with TC (for neoadjuvant)</t>
  </si>
  <si>
    <t>NED</t>
  </si>
  <si>
    <t>Esophagus, Mckeown operation:
 No residual tumor 
  - Neoadjuvant treatment: yes, chemoradiation therapy status
     (S13-21988: Squamous cell carcinoma, moderately differentiated)
  - Tumor regression grade: grade 0 (complete response)
  - Surgical margin: free from carcinoma
  - Lymph node: no metastasis in 61 lymph nodes (pN0)
     (LN#2L, 0/3; LN#2R, 0/6; LN#3p, 0/4; LN#4R, 0/5; 
      LN#4L, 0/8; LN#7, 0/6; LN#8M, 0/1; LN#10L, 0/5; 
      LN#10R, 0/2; LN#16, 0/4; LN#17, 0/9; LN#18, 0/2; 
      LN#19, 0/0; LN#20, 0/5; right recurrent laryngeal LN, 0/1; 
      right level 6, 0/0)
  - Lymphatic invasion: not identified
  - Venous invasion: not identified
  - Perineural invasion: not identified
  - Precancerous lesion: not identified
  - Associated findings: none
Gallbladder, cholecystectomy:
 Chronic cholecystitis</t>
  </si>
  <si>
    <t>grade 0, CR</t>
  </si>
  <si>
    <t>padexol, carboplatin</t>
  </si>
  <si>
    <t>wTC</t>
  </si>
  <si>
    <t>B)SCL, med (4cm/1cm; 2cm/1cm; 0.5-1cm)</t>
    <phoneticPr fontId="0" type="noConversion"/>
  </si>
  <si>
    <t>eso mass, gross LN (1R)</t>
  </si>
  <si>
    <t>cT1aN1</t>
  </si>
  <si>
    <t>민원식</t>
  </si>
  <si>
    <t>SNUH_047</t>
  </si>
  <si>
    <t>#. Esophageal cancer, SqCC, cT2N+ CCRT with FP (for neoadjuvant)</t>
  </si>
  <si>
    <t>lung, bone (sternum)</t>
    <phoneticPr fontId="2" type="noConversion"/>
  </si>
  <si>
    <r>
      <t xml:space="preserve">PS </t>
    </r>
    <r>
      <rPr>
        <sz val="10"/>
        <rFont val="돋움"/>
        <family val="3"/>
        <charset val="129"/>
      </rPr>
      <t>나빠서</t>
    </r>
    <r>
      <rPr>
        <sz val="10"/>
        <rFont val="Arial"/>
        <family val="2"/>
      </rPr>
      <t xml:space="preserve"> further chemo </t>
    </r>
    <r>
      <rPr>
        <sz val="10"/>
        <rFont val="돋움"/>
        <family val="3"/>
        <charset val="129"/>
      </rPr>
      <t>안함</t>
    </r>
    <r>
      <rPr>
        <sz val="10"/>
        <rFont val="Arial"/>
        <family val="2"/>
      </rPr>
      <t>.</t>
    </r>
    <phoneticPr fontId="2" type="noConversion"/>
  </si>
  <si>
    <t>lung, sternum</t>
    <phoneticPr fontId="2" type="noConversion"/>
  </si>
  <si>
    <t>distant metastasis</t>
    <phoneticPr fontId="2" type="noConversion"/>
  </si>
  <si>
    <t>Esophagus, Ivor Lewis operation:
 No residual tumor 
  - Neoadjuvant treatment: yes (chemoradiation therapy) status
     (S12-47738: Squamous cell carcinoma, moderately differentiated) 
  - Tumor regression grade: grade 0 (complete response)
  - Surgical margin: free from carcinoma
  - Lymph node: no metastasis in 47 lymph nodes (ypN0)
     (LN#2R, 0/18; LN#4L, 0/5; LN#4R, 0/3; LN#5, 0/6; LN#6, 0/1;
      LN#8L, 0/1; LN#8M, 0/1; LN#15, 0/0; LN#16, 0/1; LN#17, 0/8;
      LN#18, 0/1; LN#20, 0/1; Rt. recurrent laryngeal LN, 0/1)
  - Lymphatic invasion: not identified
  - Venous invasion: not identified
  - Perineural invasion: not identified
  - Intramural metastasis: absent
  - Precancerous lesion: not identified
  - Associated findings: squamous dysplasia in subepithelial glands
Liver, left, wedge resection: 
 1. Multiple Von-Meyen burg complex 
     (benign microhamartoma) 
 2. No tumor involvement
접수일 : 2013-01-24     판독일 : 2013-02-06
제작:      육안:김문영   판독준비:      결과입력:채다애
 전윤경   이경분  
병리진단 (PA130001352) [판독완료]
병리학적 진단: S13-4644 (17,18)
검사결과:
- p53: Focal positive
- Ki-67: Positive in parabasal layer
- Carcinoembryonic antigen: Focal positive
병리학적 진단: S13-4644 (21,22)
검사결과:
- p53: Focal positive
- Ki-67: Positive in parabasal layer
- Carcinoembryonic antigen: Negative</t>
  </si>
  <si>
    <t>ivor lewis + Lt liver WR</t>
  </si>
  <si>
    <t>eso mass, gross LN (2R, 4L)</t>
  </si>
  <si>
    <t>2R, 4L, 8</t>
    <phoneticPr fontId="0" type="noConversion"/>
  </si>
  <si>
    <t>cT2N+</t>
  </si>
  <si>
    <t>이영섭</t>
  </si>
  <si>
    <t>SNUH_043</t>
  </si>
  <si>
    <t>#.Esophageal ca (SqCC, M/D, lower), cT3N1 CCRT with FP (for neoadjuvant)</t>
  </si>
  <si>
    <t>liver</t>
    <phoneticPr fontId="0" type="noConversion"/>
  </si>
  <si>
    <t>Esophagus, transhiatal esophagectomy:
 1. SQUAMOUS CELL CARCINOMA, moderately differentiated
  - Neoadjuvant treatment: yes (chemoradiation therapy) status
     (S12-30471: SQUAMOUS CELL CARCINOMA, moderately differentiated)
  - Tumor regression grade: grade 3 (poor response)
  - Gross type: ulceroinfiltrative
  - Location of tumor: lower thoracic (5.2cm from GE junction)
  - Size of tumor: 2.5 x 2.5 x 0.7cm
  - Depth of invasion (AJCC 7th ed.):
     invades adventitia (pT3)
  - Surgical margin: free from carcinoma
     (safety margin: proximal, 6.2cm; distal, 6.7cm; radial, 1mm)
  - Lymph node: no metastasis in 26 lymph nodes (pN0)
      (LN#5, 0/5; LN#18 (including Fro#1), 0/7; LN#20, 0/0; 
       LN#8M, 0/1; LN#8L, 0/7; LN#16, 0/0; LN#17, 0/5)
  - Lymphatic invasion: not identified
  - Venous invasion: not identified
  - Perineural invasion: present, mural, extramural, intratumoral,
      peritumoral
  - Tumor border: infiltrative
  - Stromal reaction: none
  - Intramural metastasis: absent
  - Precancerous lesion: not identified
 2. SQUAMOUS CELL CARCINOMA, moderately differentiated
  - Gross type: ulceroinfiltrative
  - Location of tumor: lower thoracic (7.5cm from GE junction)
  - Size of tumor: 0.8 x 0.6 x 0.2cm
  - Depth of invasion (AJCC 7th ed.):
     invades submucosa 
  - Surgical margin: free from carcinoma
     (safety margin: proximal, 5.4cm; distal, 9.2cm; radial, 5mm)
  - Lymphatic invasion: not identified
  - Venous invasion: not identified
  - Perineural invasion: not identified
  - Tumor border: infiltrative
  - Stromal reaction: none
  - Intramural metastasis: absent
  - Precancerous lesion: not identified</t>
  </si>
  <si>
    <t>sqcc md</t>
  </si>
  <si>
    <t>2.5 x 2.5 x 0.7cm and 0.8 x 0.6 x 0.2cm</t>
  </si>
  <si>
    <t>3, poor response</t>
  </si>
  <si>
    <t>IIA</t>
  </si>
  <si>
    <t>ypT3N0</t>
    <phoneticPr fontId="0" type="noConversion"/>
  </si>
  <si>
    <t>Transhiatal</t>
    <phoneticPr fontId="2" type="noConversion"/>
  </si>
  <si>
    <t>transhiatal esophagectomy</t>
  </si>
  <si>
    <t>mediastinum (2-4cm/0.5cm; 0; 1cm)</t>
    <phoneticPr fontId="0" type="noConversion"/>
  </si>
  <si>
    <t>2-4</t>
  </si>
  <si>
    <t>eso mass, LN (4L)</t>
  </si>
  <si>
    <t>4L</t>
    <phoneticPr fontId="0" type="noConversion"/>
  </si>
  <si>
    <t>윤준환</t>
  </si>
  <si>
    <t>SNUH_042</t>
  </si>
  <si>
    <t>#. Esophageal cancer (SqCC, UI 25-30cm), cT3N1M0 CCRT with FP (for neoadjuvant)</t>
  </si>
  <si>
    <t>lung, Rt SCL</t>
    <phoneticPr fontId="2" type="noConversion"/>
  </si>
  <si>
    <t xml:space="preserve">weekly DP#2D8 (~‘13-03-26) </t>
  </si>
  <si>
    <t>Rt SCL, 2R</t>
    <phoneticPr fontId="0" type="noConversion"/>
  </si>
  <si>
    <t>Esophagus, McKweon operation:
 SQUAMOUS CELL CARCINOMA, moderately differentiated, residual
  - Neoadjuvant treatment: yes, chemoradiation therapy status
     (S12-23291: Squamous cell carcinoma, moderately differentiated) 
  - Tumor regression grade: grade 1 (moderate response)
  - Gross type: ulcerative and localized
  - Location of tumor: middle thoracic
  - Size of tumor: 0.5 x 0.4 x 0.2cm
  - Depth of invasion (AJCC 7th ed.):
     invades muscularis propria (ypT2)
  - Surgical margin: free from carcinoma
     (safety margin: proximal, 2.5cm; distal, 6.0cm; radial, 3mm)
  - Lymph node: no metastasis in 36 lymph nodes (ypN0)
     (LN#3p, 0/1; LN#7, 0/13; LN#8L, 0/1; LN#8M, 0/0;
      LN#9R, 0/1; LN#16, 0/0; LN#17, 0/18; LN#18, 0/1;
      "Rt. recurrent laryngeal LN", 0/1)
  - Lymphatic invasion: not identified
  - Venous invasion: not identified
  - Perineural invasion: not identified
  - Tumor border: infiltrative
  - Stromal reaction: none
  - Intramural metastasis: absent
  - Precancerous lesion: not identified</t>
  </si>
  <si>
    <t>0.5 x 0.4 x 0.2cm</t>
  </si>
  <si>
    <t>1, moderate response</t>
  </si>
  <si>
    <t>ypT2N0</t>
    <phoneticPr fontId="0" type="noConversion"/>
  </si>
  <si>
    <t>mediastinum (4cm/1cm; 0; 1cm)</t>
    <phoneticPr fontId="0" type="noConversion"/>
  </si>
  <si>
    <t>Pre-op</t>
    <phoneticPr fontId="0" type="noConversion"/>
  </si>
  <si>
    <t>강기원</t>
  </si>
  <si>
    <t>SNUH_036</t>
  </si>
  <si>
    <t>#. Esophageal ca. (SqCC, UI 30-35cm), cT3N1 CCRT with FP</t>
  </si>
  <si>
    <t>Lt SCL</t>
    <phoneticPr fontId="2" type="noConversion"/>
  </si>
  <si>
    <t>LN resection (1L), 13/2/22 -&gt; FP#4, 13/2/25-13/7/25  -&gt; LN resection (1L), 13/11/28 -&gt; DP#4, 14/1/14-14/3/27</t>
    <phoneticPr fontId="2" type="noConversion"/>
  </si>
  <si>
    <t>out (marginal?)</t>
    <phoneticPr fontId="2" type="noConversion"/>
  </si>
  <si>
    <t>2L -&gt; 1L,2R,3P</t>
    <phoneticPr fontId="0" type="noConversion"/>
  </si>
  <si>
    <t>Esophagus, Ivor Lewis operation:
1. SQUAMOUS CELL CARCINOMA, moderately differentiated
- Neoadjuvant treatment: yes (chemoradiation therapy) status
   (S12-11010: squamous cell carcinoma)
- Tumor regression grade: grade 2 (minimal response)
- Gross type: ulceroinfiltrative
- Location of tumor: lower thoracic
- Size of tumor: 4.2 x 3.8 x 1.1cm
- Depth of invasion (AJCC 7th ed.):
   invades adventitiy (pT3)
- Surgical margin: free from carcinoma
   (safety margin: proximal, 0.8cm; distal, 1.5cm; radial, 1mm)
- Lymph node: no metastasis in five lymph nodes (ypN0)
    (LN#4, 0/0; LN#7, 0/2; LN#18, 0/1; 
     Rt.recurrent laryngeal LN, 0/2)
- Lymphatic invasion: not identified
- Venous invasion: not identified
- Perineural invasion: present, mural, intratumoral
- Tumor border: infiltrative
- Stromal reaction: none
- Intramural metastasis: absent
- Precancerous lesion: not identified
- Associated findings: none
 2. SQUAMOUS CELL CARCINOMA, moderately differentiated
- Gross type: superficial
- Location of tumor: lower thoracic
- Size of tumor: 0.8 x 0.5 x 0.2cm
- Depth of invasion (AJCC 7th ed.):
   invades submucosa (pT1b)
- Surgical margin: free from carcinoma
   (safety margin: proximal, 5.7cm; distal, 0.1cm; radial, 8mm)
- Lymphatic invasion: not identified
- Venous invasion: not identified
- Perineural invasion: not identified
- Tumor border: infiltrative
- Stromal reaction: none
- Intramural metastasis: absent
- Precancerous lesion: not identified
- Associated findings: none
Tissue labeled "distal esophagus", excision:
 1. No tumor involvement 
 2. Reactive hyperplasia in one lymph node
Tissue labeled "esophageal wall", excision:
 Involvement of SQUAMOUS CELL CARCINOMA
Tissue labeled "stomach" and "proximal esophagus", excision:
 No tumor involvement</t>
  </si>
  <si>
    <t>4.2 x 3.8 x 1.1cm and 0.8 x 0.5 x 0.2cm</t>
  </si>
  <si>
    <t>ypT3N0 (TRG 2)</t>
  </si>
  <si>
    <t>med+abd (4cm/1cm; 1cm; 1cm)</t>
    <phoneticPr fontId="0" type="noConversion"/>
  </si>
  <si>
    <t>eso mass, gross LN (perigastric)</t>
  </si>
  <si>
    <t>30-35</t>
    <phoneticPr fontId="0" type="noConversion"/>
  </si>
  <si>
    <t>하금호</t>
  </si>
  <si>
    <t>SNUH_032</t>
  </si>
  <si>
    <t>#. Esophageal ca (SqCC, UI 34-36cm, cT3N2)</t>
  </si>
  <si>
    <t>Rt kidney, both lung</t>
    <phoneticPr fontId="0" type="noConversion"/>
  </si>
  <si>
    <t>IP#6(13.11.12-13.3.11) -&gt; Docetaxel#2(14.4.19-5.23)</t>
    <phoneticPr fontId="2" type="noConversion"/>
  </si>
  <si>
    <t>Esophagus, McKeown operation:
SQUAMOUS CELL CARCINOMA, poorly differentiated
- Post-chemoradiotherapy status 
   (S12-7496: squamous cell carcinoma)
- Gross type: diffuse infiltrative
- Location of tumor: lower thoracic
- Size of tumor: 0.4 x 0.3 x 0.05cm
- Depth of invasion (AJCC 7th ed.):
   invades lamina propria (pT1a) 
- Surgical margin: free from carcinoma
   (safety margin: proximal, 6.7cm; distal, 16.0cm; deep, 5.5mm)
- Lymphatic invasion: not identified
- Venous invasion: not identified
- Perineural invasion: not identified
- Tumor border: infiltrative
- Stromal reaction: none
- Intramural metastasis: absent
- Precancerous lesion: not identified
- Associated findings: ulceration
- Metastasis in one out of 49 lymph nodes 
   (LN#1R, 0/5; LN#1L, 0/3; LN#2R, 0/1; LN#2L, 0/2;
    LN#2R+4R, 0/13; LN#4L (including Fro#2), 0/3;
    LN#4R, 0/0; LN#8, 0/1; LN#10, 0/2; celiac LN, 0/3;
    splenic LN, 0/0, jugular LN, 0/1; prevascular LN, 0/5;
    peritumoral LN, 1/9; azygos vein LN (Fro#1), 0/0;
    splenic LN (Fro#3), 0/1)</t>
  </si>
  <si>
    <t>sqcc pd</t>
  </si>
  <si>
    <t>0.4 x 0.3 x 0.05cm</t>
  </si>
  <si>
    <t>ypT1aN1</t>
    <phoneticPr fontId="0" type="noConversion"/>
  </si>
  <si>
    <t>2R,4R,7,10R</t>
    <phoneticPr fontId="0" type="noConversion"/>
  </si>
  <si>
    <t>cT3N2</t>
  </si>
  <si>
    <t>34-36</t>
    <phoneticPr fontId="0" type="noConversion"/>
  </si>
  <si>
    <t>최완동</t>
  </si>
  <si>
    <t>SNUH_031</t>
  </si>
  <si>
    <t>#. Esophageal cancer (UI 30-33cm, SqCC), cT3N0 CCRT with FP (for neoadjuvant)</t>
  </si>
  <si>
    <t>adj FP 2-3 cycle 계획하고 퇴원 → 연고지 관계로 다른 병원 감</t>
  </si>
  <si>
    <t>Esophagus, Ivor Lewis operation:
SQUAMOUS CELL CARCINOMA, moderately differentiated
- Post neoadjuvant chemoradiation status (S11-62113)
- Tumor regression grade (see reference): 
   Grade 2: Moderately effective
- Gross type: ulceroinfiltrative
- Location of tumor: lower thoracic
- Size: 2.5 x 1.2 x 0.35cm
- Depth of invasion: 
    Tumor invades adventitia (ypT3)
- Resection margin: free from carcinoma
    safety margin: proximal, 3.3㎝; distal, 3.5㎝; radial, 0.15cm
- Lymph node metastasis: 
    metastasis in two out of 21 regional lymph nodes (ypN2)
     (LN#1, 2/5; LN#2, 0/1; LN#7, 0/5; LN#8, 0/1;
      LN#10L, 0/2; LN#13, 0/0; peritumoral LN, 0/2;
     splenic LN, 0/0; left gastric LN, 0/5)
- Lymphatic invasion: not identified
- Venous invasion: not identified
- Perineural invasion: not identified
- Tumor border: infiltrative
- Stromal reaction: desmoplasia
- Intramural metastasis: absent
- Precancerous lesion: not identified
- Associated findings: none</t>
  </si>
  <si>
    <t>2.5 x 1.2 x 0.35cm</t>
  </si>
  <si>
    <t>2, moderately effective (Japanese Society for Esophageal Disease guideline)</t>
  </si>
  <si>
    <t>ypT3N2</t>
    <phoneticPr fontId="0" type="noConversion"/>
  </si>
  <si>
    <t>hybrid minimally invasive Mckeown operation</t>
  </si>
  <si>
    <t>cT3N0</t>
  </si>
  <si>
    <t>이균제</t>
  </si>
  <si>
    <t>SNUH_030</t>
  </si>
  <si>
    <t>CCRT with FP (for neoadjuvant)</t>
  </si>
  <si>
    <t>op후 tracheogastric fistula &amp; aspiration pneumonia -&gt; ARDS, MOF로 2012/4/17 사망</t>
  </si>
  <si>
    <t>Esophagus, Ivor-Lewis operation:
 SQUAMOUS CELL CARCINOMA, moderately differentiated
- Post-neoadjuvant chemoradiation therapy status (C11-3843)
- Gross type: ulceroinfiltrative
- Location of tumor: lower thoracic
- Size: 1.7 x 1.4 x 0.7cm
- Depth of invasion: 
    Tumor invades adventitia (ypT3)
- Resection margin: free from carcinoma
    safety margin: proximal, 3.8㎝; distal, 9.8㎝; radial, 0.15cm 
- Lymph node metastasis: 
    metastasis in one out of 24 regional lymph nodes (ypN1)
    (LN#5, 0/5; LN#7, 0/3; LN#8M, 0/3; LN#8L, 0/2; LN#10L, 0/2;
     LN#16, 1/1; LN#17, 0/2; Lt. RLN, 0/3; Rt. recurrent RLN, 0/3)
- Lymphatic invasion: not identified
- Venous invasion: not identified
- Perineural invasion: present, extramural, peritumoral 
- Tumor border: infiltrative
- Stromal reaction: desmoplasia
- Intramural metastasis: absent
- Precancerous lesion: not identified
- Associated findings: none</t>
  </si>
  <si>
    <t>1.7 x 1.4 x 0.7cm</t>
  </si>
  <si>
    <t>ypT3N1</t>
    <phoneticPr fontId="0" type="noConversion"/>
  </si>
  <si>
    <t>안재덕</t>
  </si>
  <si>
    <t>SNUH_029</t>
  </si>
  <si>
    <t># Esopahgeal cancer (lower thorac), cT3N2 (IIIB) s/p CCRT w FP #2 (50.4 Gy / 28 Fx, 9/27/10 - 11/4/10)</t>
  </si>
  <si>
    <t>pall RT</t>
  </si>
  <si>
    <r>
      <t>Rt Level VI? (</t>
    </r>
    <r>
      <rPr>
        <sz val="10"/>
        <rFont val="돋움"/>
        <family val="3"/>
        <charset val="129"/>
      </rPr>
      <t>내가</t>
    </r>
    <r>
      <rPr>
        <sz val="10"/>
        <rFont val="Arial"/>
        <family val="2"/>
      </rPr>
      <t xml:space="preserve"> </t>
    </r>
    <r>
      <rPr>
        <sz val="10"/>
        <rFont val="돋움"/>
        <family val="3"/>
        <charset val="129"/>
      </rPr>
      <t>보기에는</t>
    </r>
    <r>
      <rPr>
        <sz val="10"/>
        <rFont val="Arial"/>
        <family val="2"/>
      </rPr>
      <t xml:space="preserve"> 1R</t>
    </r>
    <r>
      <rPr>
        <sz val="10"/>
        <rFont val="돋움"/>
        <family val="3"/>
        <charset val="129"/>
      </rPr>
      <t>일</t>
    </r>
    <r>
      <rPr>
        <sz val="10"/>
        <rFont val="Arial"/>
        <family val="2"/>
      </rPr>
      <t xml:space="preserve"> </t>
    </r>
    <r>
      <rPr>
        <sz val="10"/>
        <rFont val="돋움"/>
        <family val="3"/>
        <charset val="129"/>
      </rPr>
      <t>수</t>
    </r>
    <r>
      <rPr>
        <sz val="10"/>
        <rFont val="Arial"/>
        <family val="2"/>
      </rPr>
      <t xml:space="preserve"> </t>
    </r>
    <r>
      <rPr>
        <sz val="10"/>
        <rFont val="돋움"/>
        <family val="3"/>
        <charset val="129"/>
      </rPr>
      <t>있을</t>
    </r>
    <r>
      <rPr>
        <sz val="10"/>
        <rFont val="Arial"/>
        <family val="2"/>
      </rPr>
      <t xml:space="preserve"> </t>
    </r>
    <r>
      <rPr>
        <sz val="10"/>
        <rFont val="돋움"/>
        <family val="3"/>
        <charset val="129"/>
      </rPr>
      <t>것</t>
    </r>
    <r>
      <rPr>
        <sz val="10"/>
        <rFont val="Arial"/>
        <family val="2"/>
      </rPr>
      <t xml:space="preserve"> </t>
    </r>
    <r>
      <rPr>
        <sz val="10"/>
        <rFont val="돋움"/>
        <family val="3"/>
        <charset val="129"/>
      </rPr>
      <t>같은데</t>
    </r>
    <r>
      <rPr>
        <sz val="10"/>
        <rFont val="Arial"/>
        <family val="2"/>
      </rPr>
      <t>…)</t>
    </r>
    <phoneticPr fontId="0" type="noConversion"/>
  </si>
  <si>
    <t>Esophagus, Ivor Lewis operation:
 SQUAMOUS CELL CARCINOMA, moderately differentiated
  - Post-neoadjuvant chemoradiation status (S10-40407)
  - Tumor regression grade (Guide line of Japanese Society for 
      Esophageal disease): grade 2 (Moderately effective)
  - Gross type: diffuse infiltrative
  - Location of tumor: lower thoracic
         (3.9cm from GE junction)
  - Extent: 5.3 x 2.4 x 0.7cm
  - Depth of invasion:  
     Tumor invades adventitia (ypT3)
  - Surgical margins: free from tumor
     safety margin: proximal, 3.4cm; distal, 5.1cm
                    radial margin, 0.2cm
  - Lymph node: no metastasis in 32 lymph nodes (ypN0)
     (LN#2, 0/6; LN#4, 0/10; LN#7, 0/3; celiac LN, 0/3;
      common hepatic LN, 0/4; periesophageal LN, 0/6)
- Lymphatic invasion: present, extramural, peritumoral
- Venous invasion: not identified
- Perineural invasion: present, mural, intratumoral
- Tumor border: infiltrative
- Stromal reaction: none
- Intramural metastasis: absent
- Precancerous lesion: not identified
- Associated findings: none
DIAGNOSIS:
Lung, left upper lobe, wedge resection:
 METASTATIC SQUAMOUS CELL CARCINOMA with
  1) size: 1.2 x 0.6 x 0.5cm
  2) clear resection margins</t>
  </si>
  <si>
    <t>5.3 x 2.4 x 0.7cm</t>
  </si>
  <si>
    <t>ypT3N0M1 (LUL), TRG2 (mod effective)</t>
    <phoneticPr fontId="2" type="noConversion"/>
  </si>
  <si>
    <t>ivor lewis + LUL WR</t>
  </si>
  <si>
    <t>Lt SCL, med (2cm/1cm; 1cm; 0.5cm)</t>
    <phoneticPr fontId="0" type="noConversion"/>
  </si>
  <si>
    <t>eso mass, gross LN (2R, Lt scl)</t>
  </si>
  <si>
    <t>1L? (SCL?), 2R, 7</t>
    <phoneticPr fontId="0" type="noConversion"/>
  </si>
  <si>
    <t>cT3N2 (IIIB)</t>
    <phoneticPr fontId="0" type="noConversion"/>
  </si>
  <si>
    <t>3.7cm from GE junction</t>
  </si>
  <si>
    <t>김연호</t>
  </si>
  <si>
    <t>SNUH_016</t>
  </si>
  <si>
    <t>#. Esophageal cancer (SCCa, Mid), cT3N0-1M0 (IIIA) s/p CCRT wtih FP #2 (50.4 Gy / 28 Fx, 9/14/10 - 10/27/10)</t>
  </si>
  <si>
    <t>Neck LN -&gt; lung, neck LN (2013/2/5</t>
    <phoneticPr fontId="2" type="noConversion"/>
  </si>
  <si>
    <t>stump mid to upper eso, LNs (bilat neck 6, 4, 3, and left 2), lung LUL</t>
  </si>
  <si>
    <r>
      <t>Lt level VI? (</t>
    </r>
    <r>
      <rPr>
        <sz val="10"/>
        <rFont val="돋움"/>
        <family val="3"/>
        <charset val="129"/>
      </rPr>
      <t>내가</t>
    </r>
    <r>
      <rPr>
        <sz val="10"/>
        <rFont val="Arial"/>
        <family val="2"/>
      </rPr>
      <t xml:space="preserve"> </t>
    </r>
    <r>
      <rPr>
        <sz val="10"/>
        <rFont val="돋움"/>
        <family val="3"/>
        <charset val="129"/>
      </rPr>
      <t>보기에는</t>
    </r>
    <r>
      <rPr>
        <sz val="10"/>
        <rFont val="Arial"/>
        <family val="2"/>
      </rPr>
      <t xml:space="preserve"> 1L</t>
    </r>
    <r>
      <rPr>
        <sz val="10"/>
        <rFont val="돋움"/>
        <family val="3"/>
        <charset val="129"/>
      </rPr>
      <t>일</t>
    </r>
    <r>
      <rPr>
        <sz val="10"/>
        <rFont val="Arial"/>
        <family val="2"/>
      </rPr>
      <t xml:space="preserve"> </t>
    </r>
    <r>
      <rPr>
        <sz val="10"/>
        <rFont val="돋움"/>
        <family val="3"/>
        <charset val="129"/>
      </rPr>
      <t>수도</t>
    </r>
    <r>
      <rPr>
        <sz val="10"/>
        <rFont val="Arial"/>
        <family val="2"/>
      </rPr>
      <t xml:space="preserve"> </t>
    </r>
    <r>
      <rPr>
        <sz val="10"/>
        <rFont val="돋움"/>
        <family val="3"/>
        <charset val="129"/>
      </rPr>
      <t>있겠는데</t>
    </r>
    <r>
      <rPr>
        <sz val="10"/>
        <rFont val="Arial"/>
        <family val="2"/>
      </rPr>
      <t>)</t>
    </r>
    <phoneticPr fontId="0" type="noConversion"/>
  </si>
  <si>
    <t>Esophagus, Ivor-Lewis operation:
 SQUAMOUS CELL CARCINOMA, moderately differentiated
  - Post-neoadjuvant chemoradiation status (S10-35292)
  - Tumor regression grade 
     (Guideline of Japanese Society for Esophageal disease);
      grade 2 (Moderately effective)
  - Gross type: diffuse infiltrative
  - Location of tumor: middle thoracic, 
                       GE junction (7.1cm from GE junction)
  - Extent: 3.6 x 2.9 x 0.8cm 
  - Depth of invasion: tumor invades adventitia (yPT3)
  - Resection margin: free from carcinoma 
     safety margin: proximal, 2.9cm; distal, 7.9cm
                    radial, 0.1cm
  - Lymph node: metastasis in two out of 34 lymph nodes (ypN1)
     (LN#1R, 0/0; LN#1L, 1/1; LN#2R, 0/3; LN#2L, 0/0; LN#4R, 0/3; 
      LN#7 (including Fro#2), 0/3; LN#9L, 0/0; L#9 (Fro#1), 0/3;
      periesophageal LN, 0/8; greater curvature LN, 1/9;
      anterior cervical LN, 0/0; common hepatic LN, 0/3; 
      peritumoral LN, 0/1)
  - Lymphatic invasion: present, mural, intratumoral 
  - Venous invasion: not identified
  - Perineural invasion: not identified
  - Tumor border: infiltrative
  - Stromal reaction: none
  - Intramural metastasis: absent
  - Precancerous lesion: not identified
  - Associated findings: none</t>
  </si>
  <si>
    <t xml:space="preserve">3.6 x 2.9 x 0.8cm </t>
  </si>
  <si>
    <t>mediastinum (3cm/1cm; 1cm; 0.5cm)</t>
    <phoneticPr fontId="0" type="noConversion"/>
  </si>
  <si>
    <t>eso mass, gross LN (4R)</t>
  </si>
  <si>
    <t>cT3N0-1M0 (IIIA)</t>
  </si>
  <si>
    <t>25-</t>
    <phoneticPr fontId="0" type="noConversion"/>
  </si>
  <si>
    <t>박상국</t>
  </si>
  <si>
    <t>SNUH_015</t>
  </si>
  <si>
    <t>induction CCRT w w/cisplatin</t>
  </si>
  <si>
    <t>pleural seeding -&gt; SCL</t>
    <phoneticPr fontId="2" type="noConversion"/>
  </si>
  <si>
    <t>docetaxel #6 (2011/7/12 - 2011/11/23) → MI, PD</t>
  </si>
  <si>
    <t>1L,2L,pleural seeding -&gt; Lt SCL</t>
    <phoneticPr fontId="0" type="noConversion"/>
  </si>
  <si>
    <t>거의 못드시고 누워계심</t>
  </si>
  <si>
    <t>Esophagus, esophagectomy:
 No residual tumor, esophagus with
  1) post-chemoradiation status 
      (S10-24195: squamous cell cacinoma)
  2) no metastasis in 55 lymph nodes 
      (omental LN, 0/0; hilar LN, 0/2; LN#1R, 0/1; LN#2C, 0/1;
       LN#2R &amp; #4R, 0/15; greater curvature LN, 0/2;
       periesophageal LN, 0/20; peritumoral LN, 0/9; 
       mesenteric LN (Fro#1), 0/2; LN#7 (Fro#2), 0/3)
Stomach, total gastrectomy:
 1. Free of carcinoma
 2. Peptic ulcer, focal
 3. Gastrica cystica profunda
 4. Chronic gastritis with congestion and hemorrhage
Labeled "mesentery LN (Fro#1), excision:
 1. Free of carcinoma
 2. Chronic granulomatous inflammation with
     1) necrosis
     2) calcification
(Note) AFB staining reveals no acid-fast bacilli.
DIAGNOSIS:
Small bowel, "jejunum", segmental resection:
 Free of carcinoma</t>
  </si>
  <si>
    <t>Ivor lewis</t>
  </si>
  <si>
    <t>esophagectomy</t>
  </si>
  <si>
    <t>med+abd (3cm/1cm; 0.5cm; 0.5cm)</t>
    <phoneticPr fontId="0" type="noConversion"/>
  </si>
  <si>
    <t>subcarinal, perieso LN</t>
  </si>
  <si>
    <t>eso mass, gross LN (gastric cardia)</t>
  </si>
  <si>
    <t>perigastric</t>
    <phoneticPr fontId="0" type="noConversion"/>
  </si>
  <si>
    <t>cT1N1</t>
  </si>
  <si>
    <t>박병오</t>
  </si>
  <si>
    <t>SNUH_014</t>
  </si>
  <si>
    <t>#. Esophageal cancer (SqCC), cT2N1 CCRT with wCisplatin #6 (09.12.18-10.1.29)</t>
  </si>
  <si>
    <t>esophagitis (2010-3-15)</t>
  </si>
  <si>
    <t>mCR</t>
  </si>
  <si>
    <t>Esophagus, Ivor lewis operation:
 SQUAMOUS CELL CARCINOMA IN SITU, residual 
  - Post-neoadjuvant chemoradiation therapy status 
     (S09-52280; invasive squamous cell carcinoma)
  - Gross type: superficial 
  - Location of tumor: low thoracic (7.1cm from GE junction)
  - Size of tumor: 0.5 x 0.4 x 0.1cm 
  - Depth of invasion: High grade dysplasia (ypTis)
  - Surgical margins: free from carcinoma 
     safety margin: proximal, 6.4cm; distal, 10.1cm; radial, 8mm
  - Lymph node: no metastasis in 56 regional lymph nodes (ypN0)
    (LN#1L, 0/2 (see note); LN#1R, 0/2; 
     LN#2L (including Fro#3), 0/3; LN#4R, 0/2; 
     left level VI LN, 0/2; common hepatic LN, 0/4; 
     right level III LN, 0/0; right level IV LN, 0/3; 
     right level V LN, 0/2; right level VI, LN 0/4; 
     left level III LN, 0/1; left level IV LN, 0/10; 
     left leleve V LN, 0/4; pericardial LN, 0/10; 
     peritumoral LN, 0/7)
  - Angiolymphatic invasion: not identified
  - Venous invasion: not identified
  - Perineural invasion: not identified
  - Tumor border: expanding
  - Stromal reaction: none
  - Intramural metastasis: absent
  - Precancerous lesion: present [low grade dysplasia]  
  - Associated findings: none
(NOTE) Parathyroid tissue is included in this specimen.</t>
    <phoneticPr fontId="2" type="noConversion"/>
  </si>
  <si>
    <t>sqcc in situ</t>
  </si>
  <si>
    <t xml:space="preserve">0.5 x 0.4 x 0.1cm </t>
  </si>
  <si>
    <t>3-field</t>
  </si>
  <si>
    <t>B)SCL, med</t>
    <phoneticPr fontId="0" type="noConversion"/>
  </si>
  <si>
    <t>0.5-1.0</t>
  </si>
  <si>
    <t>eso mass, LN (1L)</t>
  </si>
  <si>
    <t>1L</t>
    <phoneticPr fontId="0" type="noConversion"/>
  </si>
  <si>
    <t>cT2N1: IIB</t>
  </si>
  <si>
    <t>김규종</t>
  </si>
  <si>
    <t>SNUH_011</t>
  </si>
  <si>
    <t>Esophageal cancer (SqCC, UI29-32cm) CCRT with wCisplatin, on CCRT, w/CDDP#6</t>
  </si>
  <si>
    <t>radiation pneumonitis (2010/5/15)</t>
  </si>
  <si>
    <r>
      <t>Esophagus, Ivor-Lewis operation:
 SQUAMOUS CELL CARCINOMA, moderate differentiated, multifocal
- Post-neoadjuvant chemoradiation therapy status
   (S09-48878, squamous cell carcinoma)
- Gross type: Ulceroinfiltrative
- Location of tumor: middle thoracic
- Size: up to 0.2 x 0.2 x 0.2cm
- Depth of invasion : 
   Tumor invades muscularis propria(pT2)
- Resection margin: involved by squamous dysplasia of
   proximal resection margin (Fro#3)
    safety margin: distal, 7.5</t>
    </r>
    <r>
      <rPr>
        <sz val="10"/>
        <rFont val="돋움"/>
        <family val="3"/>
        <charset val="129"/>
      </rPr>
      <t>㎝</t>
    </r>
    <r>
      <rPr>
        <sz val="10"/>
        <rFont val="Arial"/>
        <family val="2"/>
      </rPr>
      <t>; radial, 8</t>
    </r>
    <r>
      <rPr>
        <sz val="10"/>
        <rFont val="돋움"/>
        <family val="3"/>
        <charset val="129"/>
      </rPr>
      <t xml:space="preserve">㎜
</t>
    </r>
    <r>
      <rPr>
        <sz val="10"/>
        <rFont val="Arial"/>
        <family val="2"/>
      </rPr>
      <t xml:space="preserve">- Lymph node metastasis:
   no metastasis in 99 regional lymph nodes (pN0)
    (LN #2R, 0/1; LN #10(including Fro#1), 0/3;
     Rt. level VI(see note), 0/6; Lt. level IV, 0/0; LN #1R, 0/3;
     Rt. level V(see note), 0/4; Lt. level III, 0/2;
     LN #4R+#2R, 0/11; Lt. level V, 0/2;
     Rt. level III(see note), 0/12;
     celiac &amp; common hepatic, 0/3; Rt. level IV, 0/13;
     LN #7(Fro#2), 0/2; Lt. level VI, 0/2; LN perigastric, 0/17;
     LN peritumoral, 0/17; common hepatic(Fro#2), 0/1)
- Lymphatic invasion: not identified
- Venous invasion: not identified
- Perineural invasion: not identified
- Tumor border: infiltrative
- Stromal reaction: none
- Intramural metastasis: absent
- Precancerous lesion: present [CIS]
- Associated findings: ulceration
(Note) Benign thyroid tissue is included.
</t>
    </r>
    <phoneticPr fontId="2" type="noConversion"/>
  </si>
  <si>
    <t>involved</t>
  </si>
  <si>
    <t>0.2 x 0.2 x 0.2cm</t>
  </si>
  <si>
    <t>mediastinum (2cm; 1cm/0.5cm; 0.5cm)</t>
    <phoneticPr fontId="0" type="noConversion"/>
  </si>
  <si>
    <t>eso mass, gross LNs</t>
  </si>
  <si>
    <t>3P</t>
    <phoneticPr fontId="0" type="noConversion"/>
  </si>
  <si>
    <t>cT4bN1</t>
  </si>
  <si>
    <t>29-32</t>
    <phoneticPr fontId="0" type="noConversion"/>
  </si>
  <si>
    <t>임기춘</t>
  </si>
  <si>
    <t>SNUH_010</t>
  </si>
  <si>
    <t>DP #4</t>
  </si>
  <si>
    <t>radiation pneumonitis</t>
  </si>
  <si>
    <t>pneumonia (r/o postop)</t>
    <phoneticPr fontId="2" type="noConversion"/>
  </si>
  <si>
    <t>Esophagus and stomach, Ivor-Lewis operation:
 SQUAMOUS CELL CARCINOMA, moderately differentiated
  - Post-neoadjuvant chemoradiation therapy status 
     (therapeutic efficacy; moderate regression)
  - Gross type: diffuse infiltrative
  - Location of tumor: middle thoracic (4.5cm from GE junction)
  - Size of tumor: 1.5 x 0.5 x 0.3cm 
  - Depth of invasion:  
     invades muscular propria (pT2)
  - Surgical margins: free from tumor
     safety margin: proximal, 10.5cm; distal, 8.6cm
                    radial margin, 0.6cm
  - Lymph node: no metastasis in 32 lymph nodes (pN0)
     (periesophageal LN, 0/11; perigastric LN, 0/17; LN#7, 0/2; 
      LN#8, 0/1; LN#9, 0/1; right recurrent laryngeal LN, 0/0; 
      cervical LN, 0/0 (see note); splenic artery LN, 0/0; 
      common hepatic LN, 0/0)    
  - Angiolymphatic invasion: not identified
  - Venous invasion: not identified
  - Perineural invasion: not identified
  - Tumor border: infiltrative
  - Stromal reaction: not identified
  - Intramural metastasis; absent
  - Precancerous lesion: not identified
  - Associated findings: 
     Ulceration, abscess and dystrophic calcification 
Tissue labeled "azygous vein", biopsy:
 Vascular wall with no tumor involvement 
(NOTE) A parathyroid gland is included in "cervical LN".</t>
  </si>
  <si>
    <t xml:space="preserve">1.5 x 0.5 x 0.3cm </t>
  </si>
  <si>
    <t>ypT2N0 (TRG 1)</t>
  </si>
  <si>
    <t>docetaxel, cisplatin</t>
  </si>
  <si>
    <t>wDP</t>
  </si>
  <si>
    <t>cT3N+</t>
  </si>
  <si>
    <t>장영성</t>
  </si>
  <si>
    <t>SNUH_005</t>
  </si>
  <si>
    <t>Esophagus, Ivor Lewis operation:
   No residual tumor 
      with 1) post chemotherapy status
            2) chronic inflammation and fibrosis
            3) foreign body reaction 
            4) clear resection margins
            5) no metastasis in 29 regional lymph nodes
                  (peritumoral LN; 0/13, LN #4; 0/3, LN #7; 0/3, LN #8; 0/6, 
                   Rt. recurrent laryngeal LN; 0/4)</t>
  </si>
  <si>
    <t>mediastinum → esophagus &amp; regional LNs</t>
  </si>
  <si>
    <t>8 (thoracic)</t>
    <phoneticPr fontId="0" type="noConversion"/>
  </si>
  <si>
    <t>cT3N1Mx</t>
  </si>
  <si>
    <t>26-31</t>
    <phoneticPr fontId="0" type="noConversion"/>
  </si>
  <si>
    <t>김균형</t>
  </si>
  <si>
    <t>SNUH_001</t>
    <phoneticPr fontId="2" type="noConversion"/>
  </si>
  <si>
    <t>Esophagus and stomach, ivor lewis operation: 
SQUAMOUS CELL CARCINOMA, moderately differentiated, residual
- Post-neoadjuvant treatment status: related pathology: (S 21-59601: squamous cell carcinoma, moderately differentiated)
- Tumor regression after neoadjuvant treatment: 1 (near-complete response; single cells or rare small groups of cancer cells)
- Viable tumor after neoadjuvant treatment: 3%
- Location of tumor: lower thoracic
- Gross type: superficial
- Size of tumor: 0.4 x 0.4 x 0.2cm
- Depth of invasion: muscularis propria
- Resection margins: free from carcinoma
   (Safety margin: proximal, 7.0cm; distal, 4.0cm; radial, 2.3mm)
- Number of metastatic lymph nodes: 0
- Number of examined lymph nodes: 61
(periesophageal LN, 0/0; perigastric LN, 0/0; LN#1L, 0/0; LN#1R, 0/6; LN#4L, 0/7; LN#5, 0/4; LN#7, 0/4; LN#8U, 0/3; LN#8M, 0/9; LN#8L, 0/2; LN#8, 0/1; LN#10L, 0/1; LN#10R, 0/1; LN#15, 0/0; LN#16, 0/0; LN#17-1, 0/13; LN#17-2, 0/3; LN#17-3, 0/0; LN#18, 0/3; LN#19, 0/3; LN#20, 0/1; LN#106R, 0/0)
- Lymphatic invasion: absent
- Venous invasion: absent
- Perineural invasion: absent
- Tumor border: infiltrative
- Stromal reaction: none
- Precancerous lesion: absent
- Associated findings: transmural fibrosis
- Pathologic stage (AJCC 8th): ypT2N0
Tissue labelled "pyloric muscle", excision: No tumor involvement
Note) 1. Parathyroid tissue is included in LN#1L.
        2. Histopathologic mapping procedure was performed.</t>
    <phoneticPr fontId="2" type="noConversion"/>
  </si>
  <si>
    <t>0.4 x 0.4 x 0.2cm</t>
  </si>
  <si>
    <t>Robotic Ivor Lewis operation (robotic esophagectomy, esophagogastrostomy), total two-field LN dissection, feeding jejunostomy, pyloromyotomy, pre-emptive multilevel intercostal nerve block (JNS study-044, early group) [postop. ICU]</t>
  </si>
  <si>
    <t>GE junction and perigastric area</t>
  </si>
  <si>
    <t>김재원</t>
  </si>
  <si>
    <t>SNUH_235</t>
  </si>
  <si>
    <t>Esophagus and stomach, esophagectomy: 
No residual tumor
- Post-neoadjuvant treatment status: related pathology: (C 21-9647: squamous cell carcinoma, moderately differentiated)
- Tumor regression after neoadjuvant treatment: 0 (complete response; no viable cancer cells)
- Viable tumor after neoadjuvant treatment: 0%
- Resection margins: free from carcinoma
- Number of metastatic lymph nodes: 0
- Number of examined lymph nodes: 48
(periesophageal LN, 0/0; perigastric LN, 0/0; LN#2L, 0/1; LN#4L, 0/0; LN#5, 0/11; LN#7, 0/6; LN#8M, 0/4; LN#8L, 0/4; LN#8U, 0/3; LN#9R, 0/1; LN#10L, 0/2; LN#16, 0/0; LN#17, 0/3; LN#18, 0/3; LN#19, 0/3; LN#20, 0/4; LN#106R, 0/3)
- Intramural metastasis: absent
- Lymphatic invasion: absent
- Venous invasion: absent
- Perineural invasion: absent
- Associated findings: ulceration
- Pathologic stage (AJCC 8th): ypT0N0</t>
    <phoneticPr fontId="2" type="noConversion"/>
  </si>
  <si>
    <t>Robotic Ivor Lewis operation (robotic esophagectomy, esophagogastrostomy), total two-field LN dissection, feeding jejunostomy, pyloromyotomy, pre-emptive multilevel intercostal nerve block (JNS study-040, early group) [postop. ICU]</t>
    <phoneticPr fontId="2" type="noConversion"/>
  </si>
  <si>
    <t>Lt. gastric area</t>
  </si>
  <si>
    <t>32-EGJ</t>
    <phoneticPr fontId="2" type="noConversion"/>
  </si>
  <si>
    <t>박경수</t>
  </si>
  <si>
    <t>SNUH_233</t>
  </si>
  <si>
    <t>Esophagus and stomach, esophagectomy: 
No residual tumor
- Post-neoadjuvant treatment status: related pathology: (C 21-6459: squamous cell carcinoma, well differentiated)
- Tumor regression after neoadjuvant treatment: 0 (complete response; no viable cancer cells)
- Viable tumor after neoadjuvant treatment: 0%
- Resection margins: free from carcinoma
- Number of metastatic lymph nodes: 0
- Number of examined lymph nodes: 42
(periesophageal LN, 0/1; perigastric LN, 0/0; LN#2L, 0/3; LN#4L, 0/4; LN#5, 0/2; LN#7, 0/9; LN#8M, 0/4; LN#8L, 0/3; LN#8U, 0/1; LN#16, 0/0; LN#17, 0/5; LN#18, 0/1; LN#19, 0/3; LN#20, 0/4; LN#106R, 0/2)
- Lymphatic invasion: absent
- Venous invasion: absent
- Perineural invasion: absent
- Associated findings: none
- Pathologic stage (AJCC 8th): ypT0N0
Lymph node, "Rt. LV #3", "Rt. LV #4", "Lt. LV #3" and "Lt. LV #4", lymph node dissection:
No metastasis in 30 lymph nodes
("Rt. LV #3", 0/8; "Rt. LV #4", 0/5; "LV #3", 0/10; "Lt. LV #4", 0/7) (see note 2)
Note) 1. A Parathyroid gland is included in LN#2L station.
        2. Fibrotic change and foreign body reaction are observed in two "Rt. LV #4" lymph nodes.</t>
    <phoneticPr fontId="2" type="noConversion"/>
  </si>
  <si>
    <t>Robotic Ivor Lewis operation (robotic esophagectomy, esophagogastrostomy), total three-field LN dissection, feeding jejunostomy, pyloromyotomy, pre-emptive multilevel intercostal nerve block (JNS study-038, delayed group) [postop. ICU]</t>
    <phoneticPr fontId="2" type="noConversion"/>
  </si>
  <si>
    <t>Rt SCN</t>
    <phoneticPr fontId="2" type="noConversion"/>
  </si>
  <si>
    <t>정건식</t>
  </si>
  <si>
    <t>SNUH_232</t>
  </si>
  <si>
    <t>Esophagus and stomach, esophagectomy: 
SQUAMOUS CELL CARCINOMA, moderately differentiated, residual
- Post-neoadjuvant treatment status: related pathology: (C21-2370: consistent with squamous cell carcinoma)
- Tumor regression after neoadjuvant treatment: 2 (partial response; residual cancer with evident tumor regression but more than single cells or rare small groups of cancer cells)
- Viable tumor after neoadjuvant treatment: 5%
- Location of tumor: middle thoracic
- Gross type: ulceroinfiltrative
- Size of tumor: 1.6 x 1.4 x 0.4cm
- Depth of invasion: adventitia
- Resection margins: involved by carcinoma at radial margin
   (Safety margin: proximal, 4.1cm; distal, 12.9cm; radial, 0mm)
- Number of metastatic lymph nodes: 4
- Number of examined lymph nodes: 88
(periesophageal LN, 0/0; perigastric LN, 0/0; LN#2L, 0/0; LN#4L, 0/2; LN#5, 0/7; LN#7, 0/11; LN#8U, 0/0; LN#8M, 1/1; LN#8L, 0/4; LN#10L, 0/1; LN#16, 0/1; LN#17, 1/9; LN#18, 1/12; LN#19, 0/5; LN#106R, 0/1; LN#Lt.3, 0/10; LN#Lt.4, 0/11; LN#Rt.3, 0/4; LN#Rt.4, 1/9)
- Intramural metastasis: absent
- Lymphatic invasion: PRESENT
- Venous invasion: absent
- Perineural invasion: absent
- Tumor border: infiltrative
- Stromal reaction: none
- Precancerous lesion: absent
- Associated findings: transmural fibrosis
- Pathologic stage (AJCC 8th): ypT3N2
Note) 1. Histopathologic mapping procedure was performed.
        2. A parathyroid gland tissue (5.5 x 3mm) is included in "LN#2L".</t>
    <phoneticPr fontId="2" type="noConversion"/>
  </si>
  <si>
    <t>1.6 x 1.4 x 0.4cm</t>
  </si>
  <si>
    <t>ypT3N2M1</t>
    <phoneticPr fontId="2" type="noConversion"/>
  </si>
  <si>
    <t>Robot-assisted McKeown operation (Thoracic esophagectomy, gastric conduit preperation, cervical esophagogastrostomy), 3-field LN dissection, feeding jejunostomy, pyloromyoplasty (JNS study-024, early group) [postop. ICU]</t>
    <phoneticPr fontId="2" type="noConversion"/>
  </si>
  <si>
    <t>right supraclavicular fossa, right upper paratracheal, right paraesophageal area</t>
  </si>
  <si>
    <r>
      <t>Previous malignancy: Colon ca (2009</t>
    </r>
    <r>
      <rPr>
        <sz val="10"/>
        <color theme="1"/>
        <rFont val="돋움"/>
        <family val="3"/>
        <charset val="129"/>
      </rPr>
      <t>년이라</t>
    </r>
    <r>
      <rPr>
        <sz val="10"/>
        <color theme="1"/>
        <rFont val="Arial"/>
        <family val="2"/>
      </rPr>
      <t xml:space="preserve"> ok)</t>
    </r>
    <phoneticPr fontId="2" type="noConversion"/>
  </si>
  <si>
    <t>추두엽</t>
  </si>
  <si>
    <t>SNUH_223</t>
  </si>
  <si>
    <t>Esophagus and stomach, esophagectomy and proximal gastrectomy: 
SQUAMOUS CELL CARCINOMA, moderately differentiated, residual
- Tumor regression after neoadjuvant treatment: 1 (near-complete response; single cells or rare small groups of cancer cells)
- Viable tumor after neoadjuvant treatment: 2%
- Location of tumor: gastroeosphageal junction
- Gross type: ulceroinfiltrative
- Size of tumor: 0.8 x 0.4 x 0.3cm
- Depth of invasion: muscularis propria
- Resection margins: free from carcinoma
   (Safety margin: proximal, 9.6cm; distal, 4.3cm; radial, 2.0mm)
- Number of metastatic lymph nodes: 0
- Number of examined lymph nodes: 67
(periesophageal LN, 0/1; perigastric LN, 0/0; LN#2L, 0/3; LN#4L, 0/3; LN#7, 0/16; LN#8U, 0/1; LN#8M, 0/1; LN#8L, 0/7; LN#9L, 0/3; LN#5, 0/9; LN#16, 0/6; LN#17, 0/8; LN#18, 0/7; LN#19, 0/2)
- Intramural metastasis: absent
- Lymphatic invasion: absent
- Venous invasion: absent
- Perineural invasion: absent
- Tumor border: infiltrative
- Stromal reaction: none
- Precancerous lesion: not identified
- Associated findings: ulceration and fibrosis
- Related pathology: S 200043276, C 200004958; squamous cell carcinoma
- Pathologic stage (AJCC 8th): ypT2N0
Note) Histopathologic mapping procedure was performed</t>
    <phoneticPr fontId="2" type="noConversion"/>
  </si>
  <si>
    <t>gastroeosphageal junction</t>
  </si>
  <si>
    <t>0.8 x 0.4 x 0.3cm</t>
  </si>
  <si>
    <t>Robotic-assisted esophagectomy, intra-thoracic esophagogastrostomy, proximal gastrectomy, total two-field LN dissection; feeding jejunostomy; pre-emptive multi-level intercostal nerve block</t>
  </si>
  <si>
    <t>perigastric area</t>
  </si>
  <si>
    <t>이옥숙</t>
  </si>
  <si>
    <t>SNUH_212</t>
  </si>
  <si>
    <t>Esophagus and proximal stomach, esophagogastrectomy: 
SQUAMOUS CELL CARCINOMA, poorly differentiated (G3), residual
- Neoadjuvant treatment: chemoradiation therapy
- Tumor regression grade: 1 (near-complete response; single cells or rare small groups of cancer cells)
- Location of tumor: lower thoracic
- Size of tumor: 2.4 x 1.7 x 0.8 cm 
- Gross type: ulceroinfiltrative
- Depth of invasion: invades adventitia
- Surgical margin: cannot be assessed
- Safety margin: proximal margin, 7.4 cm; distal margin, 7.8 cm; radial margin, 0.8 mm
- Number of metastatic lymph nodes: 0
- Number of examined lymph nodes: 77
  (LN#2L, 0/0; LN#4L, 0/2; LN#5, 0/14; LN#7, 0/5; LN#8L, 0/4; LN#8M, 0/1; LN#8U, 0/3; LN#10L, 0/2; LN#16, 0/3; LN#17, 0/8; LN#18, 0/2; LN#106R, 0/6; Lt. level 4 LN, 0/11; Rt. Level 4 LN, 0/16)
- Lymphatic invasion: not identified 
- Venous invasion: not identified 
- Perineural invasion: not identified 
- Tumor border: infiltrative
- Stromal reaction: none
- Intramural metastasis: not identified
- Precancerous lesion: not identified
Pathologic staging (AJCC 8th)
- pT category: pT3, invades adventitia
- pN category: pN0, no metastasis in regional lymph nodes
Tissue labelled "bronchial artery", resection: 
No tumor involvement
Tissue labelled "liver", resection: 
No tumor involvement</t>
    <phoneticPr fontId="2" type="noConversion"/>
  </si>
  <si>
    <t xml:space="preserve">2.4 x 1.7 x 0.8 cm </t>
  </si>
  <si>
    <t>Robot-assisted esophagectomy, cervical esophagogastrostomy, three-field LN dissection, feeding jejunostomy, pre-emptive multi-level intercostal nerve block</t>
  </si>
  <si>
    <t>Lt. SCN, mediastinum 4L and 8</t>
  </si>
  <si>
    <t>30-33</t>
  </si>
  <si>
    <t xml:space="preserve">전태련 </t>
  </si>
  <si>
    <t>SNUH_207</t>
  </si>
  <si>
    <t>LUL -&gt; lower neck?, LLL, T2 spine</t>
    <phoneticPr fontId="2" type="noConversion"/>
  </si>
  <si>
    <t>lower neck, LLL, T2 spine, hilar</t>
  </si>
  <si>
    <t xml:space="preserve">LUL Metastasectomy   4L LN  ('16.11.17)  </t>
    <phoneticPr fontId="2" type="noConversion"/>
  </si>
  <si>
    <t>in-field &amp; distal -&gt; out-field &amp; distal</t>
    <phoneticPr fontId="2" type="noConversion"/>
  </si>
  <si>
    <t>LUL, 4L -&gt; lower neck, LLL, T2 spine, hilar</t>
    <phoneticPr fontId="2" type="noConversion"/>
  </si>
  <si>
    <t>on trial</t>
    <phoneticPr fontId="2" type="noConversion"/>
  </si>
  <si>
    <t>Esophagus and stomach, Mckown operation:  
SQUAMOUS CELL CARCINOMA, moderately differentiated (G2)
- Neoadjuvant treatment: chemoradiation therapy. 
- Tumor regression grade: grade 2 (minimal regression)
- Gross type: ulceroinfiltrative
- Location of tumor: middle thoracic
- Size of tumor: 2.8 x 1.8 x 0.9 cm. 
- Depth of invasion: invades adventitia
- ypT stage (AJCC 7th): ypT3
- Surgical margin: free from carcinoma
- Safety margin: proximal margin, 1.1 cm; distal margin, 18.9 cm; radial margin, 1 mm; 
- Number of metastatic lymph nodes: 2
- Number of examined lymph nodes: 68
  (Recurrent laryngeal, 1/4; Rt. level 4, 0/5; Lt. level 3, 0/1; Lt. level 4, 0/11; LN#2L, 0/0; LN#2L4L, 1/1; LN#4R, 0/11; LN#5, 0/2; LN#7, 0/4; LN#8L, 0/4; LN#8M, 0/0; LN#16, 0/5; LN#17, 0/14; LN#18, 0/3; LN#19, 0/3; )
- ypN stage (AJCC 7th): ypN1, metastasis in 1-2 regional lymph nodes
- Lymphatic invasion: not identified 
- Venous invasion: extramural, peritumoral
- Perineural invasion: mural, intratumoral
- Tumor border: infiltrative
- Stromal reaction: none
- Intramural metastasis: not identified
- Precancerous lesion: not identified
Tissue labeled, "anastomosis site", excision: 
No tumor involvement</t>
    <phoneticPr fontId="2" type="noConversion"/>
  </si>
  <si>
    <t>2.8 x 1.8 x 0.9 cm</t>
  </si>
  <si>
    <t>Robot-assisted Mckeown operation</t>
  </si>
  <si>
    <t>upper eso. mass / 2R, 3P</t>
    <phoneticPr fontId="2" type="noConversion"/>
  </si>
  <si>
    <t>2R, 3P</t>
    <phoneticPr fontId="2" type="noConversion"/>
  </si>
  <si>
    <t>24-28</t>
    <phoneticPr fontId="2" type="noConversion"/>
  </si>
  <si>
    <t>곽양오</t>
    <phoneticPr fontId="2" type="noConversion"/>
  </si>
  <si>
    <t>SNUH_188</t>
  </si>
  <si>
    <r>
      <rPr>
        <sz val="10"/>
        <color theme="1"/>
        <rFont val="돋움"/>
        <family val="3"/>
        <charset val="129"/>
      </rPr>
      <t>수술</t>
    </r>
    <r>
      <rPr>
        <sz val="10"/>
        <color theme="1"/>
        <rFont val="Arial"/>
        <family val="2"/>
      </rPr>
      <t xml:space="preserve"> </t>
    </r>
    <r>
      <rPr>
        <sz val="10"/>
        <color theme="1"/>
        <rFont val="돋움"/>
        <family val="3"/>
        <charset val="129"/>
      </rPr>
      <t>이후</t>
    </r>
    <r>
      <rPr>
        <sz val="10"/>
        <color theme="1"/>
        <rFont val="Arial"/>
        <family val="2"/>
      </rPr>
      <t xml:space="preserve"> infection </t>
    </r>
    <r>
      <rPr>
        <sz val="10"/>
        <color theme="1"/>
        <rFont val="돋움"/>
        <family val="3"/>
        <charset val="129"/>
      </rPr>
      <t>해결</t>
    </r>
    <r>
      <rPr>
        <sz val="10"/>
        <color theme="1"/>
        <rFont val="Arial"/>
        <family val="2"/>
      </rPr>
      <t xml:space="preserve"> </t>
    </r>
    <r>
      <rPr>
        <sz val="10"/>
        <color theme="1"/>
        <rFont val="돋움"/>
        <family val="3"/>
        <charset val="129"/>
      </rPr>
      <t>잘</t>
    </r>
    <r>
      <rPr>
        <sz val="10"/>
        <color theme="1"/>
        <rFont val="Arial"/>
        <family val="2"/>
      </rPr>
      <t xml:space="preserve"> </t>
    </r>
    <r>
      <rPr>
        <sz val="10"/>
        <color theme="1"/>
        <rFont val="돋움"/>
        <family val="3"/>
        <charset val="129"/>
      </rPr>
      <t>안되는</t>
    </r>
    <r>
      <rPr>
        <sz val="10"/>
        <color theme="1"/>
        <rFont val="Arial"/>
        <family val="2"/>
      </rPr>
      <t xml:space="preserve"> </t>
    </r>
    <r>
      <rPr>
        <sz val="10"/>
        <color theme="1"/>
        <rFont val="돋움"/>
        <family val="3"/>
        <charset val="129"/>
      </rPr>
      <t>문제도</t>
    </r>
    <r>
      <rPr>
        <sz val="10"/>
        <color theme="1"/>
        <rFont val="Arial"/>
        <family val="2"/>
      </rPr>
      <t xml:space="preserve"> </t>
    </r>
    <r>
      <rPr>
        <sz val="10"/>
        <color theme="1"/>
        <rFont val="돋움"/>
        <family val="3"/>
        <charset val="129"/>
      </rPr>
      <t>있었고</t>
    </r>
    <r>
      <rPr>
        <sz val="10"/>
        <color theme="1"/>
        <rFont val="Arial"/>
        <family val="2"/>
      </rPr>
      <t>.</t>
    </r>
    <phoneticPr fontId="2" type="noConversion"/>
  </si>
  <si>
    <t>liver, bilateral kidney, lung, peritoneal carcinomatosis, psoas muscle</t>
  </si>
  <si>
    <t>in-field &amp; distal</t>
    <phoneticPr fontId="2" type="noConversion"/>
  </si>
  <si>
    <t>mediastinal LN, liver, bilateral kidney, lung, peritoneal carcinomatosis, psoas muscle</t>
    <phoneticPr fontId="2" type="noConversion"/>
  </si>
  <si>
    <r>
      <t>Esophagus and stomach, McKeown operation;
SQUAMOUS CELL CARCINOMA, poorly differentiated (G3)
- Neoadjuvant treatment: chemoradiation therapy. 
- Tumor regression grade: grade 2 (minimal regression)
- Gross type: ulceroinfiltrative
- Location of tumor: lower thoracic
- Size of tumor: 2.4 x 1.5 x 1.1 cm. 
- Depth of invasion: invades adventitia
- pT stage (AJCC 7th): ypT3
- Surgical margin: involved by carcinoma
- Safety margin: proximal margin, 3.2 cm; distal margin, 5.6 cm; radial margin, 0 mm; 
- Number of metastatic lymph nodes: 1
- Number of examined lymph nodes: 21
  (peritumoral LN, 0/2; LN#8L,0/3; LN#17A,0/9; LN#17B1/1; LN#18,0/4; LN#20,0/0; LN#Rt. recurrent laryngeal,0/2; )
- pN stage (AJCC 7th): ypN1, metastasis in 1-2 regional lymph nodes
- Lymphatic invasion: mural, intratumoral
- Venous invasion: not identified 
- Perineural invasion: mural, intratumoral
- Tumor border: infiltrative
- Stromal reaction: none
- Intramural metastasis: not identified
- Precancerous lesion: not identified
Tissue labeled  "Rt. neck LN enbloc resection with skin" , excision:
 Necrotic tissue with no viable tumor cells
Tissue labeled "cancer</t>
    </r>
    <r>
      <rPr>
        <sz val="10"/>
        <color theme="1"/>
        <rFont val="돋움"/>
        <family val="3"/>
        <charset val="129"/>
      </rPr>
      <t>조직</t>
    </r>
    <r>
      <rPr>
        <sz val="10"/>
        <color theme="1"/>
        <rFont val="Arial"/>
        <family val="2"/>
      </rPr>
      <t>", excision:
 Necrotic tissue with no viable tumor cells
Tissue labeled "subclavian artery"(Fro#2), excision:
 No tumor involvement</t>
    </r>
    <phoneticPr fontId="2" type="noConversion"/>
  </si>
  <si>
    <t>2.4 x 1.5 x 1.1 cm</t>
  </si>
  <si>
    <t>Mckewon operation</t>
    <phoneticPr fontId="2" type="noConversion"/>
  </si>
  <si>
    <t>eso. mass / gross LN (Rt. Scl LN, perigastric LN)</t>
    <phoneticPr fontId="2" type="noConversion"/>
  </si>
  <si>
    <t xml:space="preserve">right supraclavicualr, paraesophageal, left gastric LNs </t>
    <phoneticPr fontId="2" type="noConversion"/>
  </si>
  <si>
    <t>25-33</t>
    <phoneticPr fontId="2" type="noConversion"/>
  </si>
  <si>
    <t>임근배</t>
    <phoneticPr fontId="2" type="noConversion"/>
  </si>
  <si>
    <t>SNUH_187</t>
  </si>
  <si>
    <t>No residual tumor
Esophagus and stomach, Mckewon operation:
  - No residual tumor 
  - Neoadjuvant treatment: yes, chemoradiation therapy status
    (C15-3867: Squamous cell carcinoma, moderately differentiated)
  - Tumor regression grade: grade 0 (complete response)
  - Depth of invasion (AJCC 7th ed.): no residual tumor (ypT0)
  - Surgical margin: free from carcinoma
  - Lymph node: no metastasis in 52 lymph nodes (ypN0)
     (LN#2L 4L, 0/1; LN#5, 0/1; LN#7, 0/3; LN#8L, 0/3; LN#8M, 0/0; LN#16, 0/6; LN#17, 0/18; LN#18, 0/2; Rt. level 4, 0/11; Rt. recurrent laryngeal LN, 0/3)
  - Lymphatic invasion: not identified
  - Venous invasion: not identified
  - Perineural invasion: not identified
Tissue labeled "bronchial artery", excision: No tumor involvement</t>
    <phoneticPr fontId="2" type="noConversion"/>
  </si>
  <si>
    <t xml:space="preserve">Robot-assisted Mckeown operation </t>
  </si>
  <si>
    <t>eso. mass, Rt. Scl LN</t>
  </si>
  <si>
    <t>Rt supraclavicular LN</t>
  </si>
  <si>
    <t>조가정</t>
    <phoneticPr fontId="2" type="noConversion"/>
  </si>
  <si>
    <t>SNUH_185</t>
  </si>
  <si>
    <t>Esophagus and stomach, esophagectomy:
SQUAMOUS CELL CARCINOMA, moderately differentiated (G2), residual.
- Neoadjuvant treatment: chemoradiation therapy. 
- Tumor regression grade: grade 1 (moderate regression)
- Location of tumor: lower thoracic
- Size of tumor: 3.1 x 1.6 x 0.7 cm. 
- Gross type: superficial
- Depth of invasion: invades adventitia
- Surgical margin: free from carcinoma
- Safety margin: proximal margin, 2.3 cm; distal margin, 10.9 cm; radial margin, 5 mm
- Number of metastatic lymph nodes: 1
- Number of examined lymph nodes: 50
  (LN#2L, 0/1; LN#3P, 0/0; LN#5, 0/4; LN#7, 1/8; LN#8L, 0/8; LN#8M, 0/3; LN#15, 0/0; LN#17, 0/18; LN#18, 0/1; LN#19, 0/4; LN#106R, 0/3)
- Lymphatic invasion: extramural, peritumoral
- Venous invasion: not identified 
- Perineural invasion: not identified 
- Tumor border: infiltrative
- Stromal reaction: lymphoid
- Intramural metastasis: not identified
- Precancerous lesion: not identified
Lymph node, neck, lymph node dissection:
 METASTATIC CARCINOMA, clinically from esophagus, in seven out of 37 lymph nodes
  (Rt. Level 3, 4/6; Rt. Level 4, 2/10; Lt. Level 3, 0/10; Lt. Level 4, 1/11)
Pathologic staging (AJCC 8th)
- pT category: ypT3, invades adventitia
- pN category: ypN1, metastasis in 1-2 regional lymph nodes
- pM category: ypM1, metastasis in distant nodal station
Tissue labelled "bronchial artery", excision:
 No tumor involvement</t>
    <phoneticPr fontId="2" type="noConversion"/>
  </si>
  <si>
    <t>3.1 x 1.6 x 0.7 cm</t>
  </si>
  <si>
    <t>ypT3N1M1</t>
    <phoneticPr fontId="2" type="noConversion"/>
  </si>
  <si>
    <t>Robotic esophagectomy, RLL wedge resection</t>
    <phoneticPr fontId="2" type="noConversion"/>
  </si>
  <si>
    <t>including med. LN area</t>
  </si>
  <si>
    <t>김한</t>
    <phoneticPr fontId="2" type="noConversion"/>
  </si>
  <si>
    <t>SNUH_181</t>
  </si>
  <si>
    <r>
      <rPr>
        <sz val="10"/>
        <color theme="1"/>
        <rFont val="돋움"/>
        <family val="3"/>
        <charset val="129"/>
      </rPr>
      <t>짧은</t>
    </r>
    <r>
      <rPr>
        <sz val="10"/>
        <color theme="1"/>
        <rFont val="Arial"/>
        <family val="2"/>
      </rPr>
      <t xml:space="preserve"> follow-up </t>
    </r>
    <r>
      <rPr>
        <sz val="10"/>
        <color theme="1"/>
        <rFont val="돋움"/>
        <family val="3"/>
        <charset val="129"/>
      </rPr>
      <t>이후</t>
    </r>
    <r>
      <rPr>
        <sz val="10"/>
        <color theme="1"/>
        <rFont val="Arial"/>
        <family val="2"/>
      </rPr>
      <t xml:space="preserve"> </t>
    </r>
    <r>
      <rPr>
        <sz val="10"/>
        <color theme="1"/>
        <rFont val="돋움"/>
        <family val="3"/>
        <charset val="129"/>
      </rPr>
      <t>보훈병원으로</t>
    </r>
    <r>
      <rPr>
        <sz val="10"/>
        <color theme="1"/>
        <rFont val="Arial"/>
        <family val="2"/>
      </rPr>
      <t xml:space="preserve"> </t>
    </r>
    <r>
      <rPr>
        <sz val="10"/>
        <color theme="1"/>
        <rFont val="돋움"/>
        <family val="3"/>
        <charset val="129"/>
      </rPr>
      <t>옮겼다는</t>
    </r>
    <r>
      <rPr>
        <sz val="10"/>
        <color theme="1"/>
        <rFont val="Arial"/>
        <family val="2"/>
      </rPr>
      <t xml:space="preserve"> </t>
    </r>
    <r>
      <rPr>
        <sz val="10"/>
        <color theme="1"/>
        <rFont val="돋움"/>
        <family val="3"/>
        <charset val="129"/>
      </rPr>
      <t>점</t>
    </r>
    <r>
      <rPr>
        <sz val="10"/>
        <color theme="1"/>
        <rFont val="Arial"/>
        <family val="2"/>
      </rPr>
      <t>.</t>
    </r>
    <phoneticPr fontId="2" type="noConversion"/>
  </si>
  <si>
    <t>aspiration pneumonia</t>
    <phoneticPr fontId="2" type="noConversion"/>
  </si>
  <si>
    <t>Esophagus, McKeown operation;
SQUAMOUS CELL CARCINOMA, moderately differentiated (G2)
- Neoadjuvant treatment: chemoradiation therapy (S 15-59572: Squamous cell carcinoma, moderately differentiated (G2))
- Tumor regression grade: grade 2 (minimal regression)
- Gross type: ulceroinfiltrative
- Location of tumor: middle thoracic
- Size of tumor: 3.0 x 2.5 x 0.8 cm. 
- Depth of invasion: invades adventitia
- ypT stage (AJCC 7th): ypT3
- Surgical margin: free from carcinoma
- Safety margin: proximal margin, 1.6 cm; distal margin, 10.5 cm; radial margin2 mm; 
- Number of metastatic lymph nodes: 1
- Number of examined lymph nodes: 65
  (peritumoral LN, 0/1; "Rt. Level III", 0/3; "Rt. Level IV" (including Fro#1), 0/23; "Lt. Level IV", 0/10; "Rt. Level V", 0/1; LN#7, 0/5; LN#8L, 0/2; LN#8M, 0/0; LN#16, 0/0; LN#17, 0/12; LN#18, 0/6; "Rt. recurrent laryngeal", 1/2; )
- ypN stage (AJCC 7th): ypN1, metastasis in 1-2 regional lymph nodes
- Lymphatic invasion: not identified 
- Venous invasion: not identified 
- Perineural invasion: extramural, intratumoral
- Tumor border: infiltrative
- Stromal reaction: none
- Intramural metastasis: not identified</t>
    <phoneticPr fontId="2" type="noConversion"/>
  </si>
  <si>
    <t>3.0 x 2.5 x 0.8 cm</t>
    <phoneticPr fontId="2" type="noConversion"/>
  </si>
  <si>
    <t>McKeown operation</t>
  </si>
  <si>
    <t>20-27</t>
    <phoneticPr fontId="2" type="noConversion"/>
  </si>
  <si>
    <t>이영권</t>
    <phoneticPr fontId="2" type="noConversion"/>
  </si>
  <si>
    <t>SNUH_180</t>
  </si>
  <si>
    <t xml:space="preserve">Esophagus, McKeown operation;
Squamous cell carcinoma, moderate differentiated
- Post chemoradiation therapy status (S15-39392: Squamous cell carcinoma, moderate differentiated)
- Neoadjuvant treatment: chemoradiation therapy. 
- Tumor regression grade: grade 1 (moderate regression)
- Gross type: superficial
- Location of tumor: upper esophagus
- Size of tumor: 1.6 x 0.9 x 0.2 cm
- Depth of invasion: invades submucosa; depth of submucosal invasion, 2 mm
- ypT stage (AJCC 7th): ypT1b
- Surgical margin: free from carcinoma
- Safety margin; proximal 0.6 cm, distal 21.2 cm, lateral, 3 mm
- Number of metastatic lymph nodes: 0
- Number of examined lymph nodes: 34
  (LN#4L,0/0; LN#RT.4,0/4; LN#LT.4,0/8; LN#5,0/2; LN#7,0/4; LN#8L,0/2; LN#8M,0/3; LN#17,0/4; LN#18,0/3; LN#Rt. Recurrent laryngeal,0/4; )
- ypN stage (AJCC 7th): ypN0, no metastasis in regional lymph nodes
- Lymphatic invasion: not identified 
- Venous invasion: not identified 
- Perineural invasion: not identified 
- Stromal reaction: granulomatoud reaction due to keratin material
- Intramural metastasis: not identified
- Precancerous lesion: not identified
- Additional lesion: Squamous dysplasia, low grade, mid-esophagus (0.6 x 0.5 x 0.1 cm)
Tissue labeled " proximal RM", excision:
 No tumor involvement </t>
    <phoneticPr fontId="2" type="noConversion"/>
  </si>
  <si>
    <t>upper esophagus</t>
  </si>
  <si>
    <t>1.6 x 0.9 x 0.2 cm</t>
  </si>
  <si>
    <t>ypT1bN0</t>
    <phoneticPr fontId="2" type="noConversion"/>
  </si>
  <si>
    <t>Hybrid Robot-assisted McKeown operation</t>
  </si>
  <si>
    <t>right upper paratracheal, (left supraclavicular area?)</t>
    <phoneticPr fontId="2" type="noConversion"/>
  </si>
  <si>
    <r>
      <t xml:space="preserve">UES </t>
    </r>
    <r>
      <rPr>
        <sz val="10"/>
        <color theme="1"/>
        <rFont val="돋움"/>
        <family val="3"/>
        <charset val="129"/>
      </rPr>
      <t>직하부</t>
    </r>
    <phoneticPr fontId="2" type="noConversion"/>
  </si>
  <si>
    <t>한동욱</t>
    <phoneticPr fontId="2" type="noConversion"/>
  </si>
  <si>
    <t>SNUH_179</t>
  </si>
  <si>
    <t>Lt. axilla, lung -&gt; Lt. SCL -&gt; Lt chest wall, Lt lower neck</t>
    <phoneticPr fontId="2" type="noConversion"/>
  </si>
  <si>
    <t>pall RT to Lt SCN, docetaxel, BEIGENE</t>
    <phoneticPr fontId="2" type="noConversion"/>
  </si>
  <si>
    <t>Lt. axilla, lung -&gt; Lt. SCL, 4L, 5 -&gt; Lt chest wall, Lt lower neck</t>
    <phoneticPr fontId="2" type="noConversion"/>
  </si>
  <si>
    <t>Esophagus and stomach, McKeown operation;
SQUAMOUS CELL CARCINOMA, poorly differentiated (G3)
- Neoadjuvant treatment: chemoradiation therapy. 
- Tumor regression grade: grade 1 (moderate regression)
- Gross type: diffuse infiltrative
- Location of tumor: middle thoracic
- Size of tumor: 2.9 x 1.5 x 0.5 cm. 
- Depth of invasion: invades adventitia
- ypT stage (AJCC 7th): ypT3
- Surgical margin: free from carcinoma in proximal and distal margins, Probaly involvement of deep (radial) resection margin.
- Safety margin: proximal margin, 3.9 cm; distal margin, 11.7 cm; radial margin, 0 mm; 
- Number of metastatic lymph nodes: 3
- Number of examined lymph nodes: 52
  (LN#2L&amp;4L, 0/3; LN#3P, 0/2; LN#4R, 0/0; LN#5, 0/3; LN#7, 2/5; LN#8M, 0/7; LN#8L, 0/1; LN#9, 0/1; LN#17, 0/6; LN#18+20, 0/3; LN#Rt. Recurrent, 0/0; LN#Rt. 4, 0/11; LN#Lt. 4, 1/9; LN#Rt. 5, 0/1; )
- ypN stage (AJCC 7th): ypN2, metastasis in 3-6 regional lymph nodes
- Lymphatic invasion: not identified 
- Venous invasion: not identified 
- Perineural invasion: not identified 
- Tumor border: infiltrative
- Stromal reaction: desmoplasia
- Intramural metastasis: not identified
- Associated lesion: fibrosis and calcification of regional lymph nodes</t>
    <phoneticPr fontId="2" type="noConversion"/>
  </si>
  <si>
    <t>2.9 x 1.5 x 0.5 cm</t>
    <phoneticPr fontId="2" type="noConversion"/>
  </si>
  <si>
    <t>Hybrid robot-assisted Mckeown operation</t>
  </si>
  <si>
    <t>eso. mass / Lt. Scl LN, subcarinal, celiac LN</t>
    <phoneticPr fontId="2" type="noConversion"/>
  </si>
  <si>
    <t>scl/med/abd</t>
    <phoneticPr fontId="2" type="noConversion"/>
  </si>
  <si>
    <t>left supraclavicular fossa, 4L, 7, celiac root</t>
    <phoneticPr fontId="2" type="noConversion"/>
  </si>
  <si>
    <t>22-30</t>
    <phoneticPr fontId="2" type="noConversion"/>
  </si>
  <si>
    <t>이상국</t>
    <phoneticPr fontId="2" type="noConversion"/>
  </si>
  <si>
    <t>SNUH_178</t>
  </si>
  <si>
    <t>lung, liver, kindey -&gt; bone</t>
    <phoneticPr fontId="2" type="noConversion"/>
  </si>
  <si>
    <t>lung, liver, kindey</t>
    <phoneticPr fontId="2" type="noConversion"/>
  </si>
  <si>
    <t>Esophagus, McKeown operation;
SQUAMOUS CELL CARCINOMA, moderately differentiated (G2), residual
- Neoadjuvant treatment: chemoradiation therapy. 
- Tumor regression grade: grade 2 (minimal regression)
- Location of tumor: upper thoracic
- Size of tumor: 3.5 x 1.9 x 0.5 cm. 
- Gross type: superficial
- Depth of invasion: invades muscularis propria
- Surgical margin: free from carcinoma but very close to proximal resection margin
- Safety margin: proximal margin (cannot be assessed); distal margin, 19.6 cm; radial margin, 5 mm; 
- Number of metastatic lymph nodes: 1
- Number of examined lymph nodes: 77
  (periesophageal LN, 0/7; perigastric LN, 0/9; LN#2L, 0/2; LN#3P, 0/1; LN#4L, 0/1; LN#4R, 0/2; LN#5, 0/1; LN#7, 0/2; LN#9L, 0/4; LN#9R, 0/1; LN#10, 0/1; LN#18, 0/2; LN#19, 0/1; LN#20, 0/0; LN#106R, 1/5(including Fro#1); LN Lt. lv3, 0/16; LN Lt. lv4, 0/7; LN Lt. lv6, 0/1; LN Rt. lv3,0/3; LN Rt. lv4,0/11; )
- Lymphatic invasion: not identified 
- Venous invasion: not identified 
- Perineural invasion: not identified 
- Tumor border: infiltrative
- Stromal reaction: none
- Intramural metastasis: not identified
- Precancerous lesion: not identified
Pathologic staging (AJCC 7th)
- pT category: ypT2, invades muscularis propria
- pN category: ypN1, metastasis in 1-2 regional lymph nodes
Tissue labelled "proximal esophagus" and "bronchial artery", excision: 
No tumor involvement</t>
    <phoneticPr fontId="2" type="noConversion"/>
  </si>
  <si>
    <t>3.5 x 1.9 x 0.5 cm</t>
  </si>
  <si>
    <t>esophagus mass, node</t>
  </si>
  <si>
    <t>scn/neck</t>
    <phoneticPr fontId="2" type="noConversion"/>
  </si>
  <si>
    <t>Bilat SCN, Lt. lower neck</t>
    <phoneticPr fontId="2" type="noConversion"/>
  </si>
  <si>
    <t>김용배</t>
    <phoneticPr fontId="2" type="noConversion"/>
  </si>
  <si>
    <t>SNUH_171</t>
  </si>
  <si>
    <t>Esophagus, McKeown operation;
SQUAMOUS CELL CARCINOMA, moderately differentiated (G2)
- Neoadjuvant treatment: chemoradiation therapy. 
- Tumor regression grade: grade 2 (minimal regression)
- Gross type: diffuse infiltrative
- Location of tumor: lower thoracic
- Size of tumor: 3.1 x 2.4 x 0.3 cm. 
- Depth of invasion: invades submucosa ; depth of submucosal invasion, 2 mm
- ypT stage (AJCC 7th): ypT1b
- Surgical margin: free from carcinoma
- Safety margin: proximal margin, 4.1 cm; distal margin, 14.7 cm; radial margin, 3 mm; 
- Number of metastatic lymph nodes: 0
- Number of examined lymph nodes: 70
  (LN#2L4L, 0/2; LN#3P, 0/0; LN#5, 0/13; LN#7, 0/2; LN#8L, 0/2; LN#8M, 0/2; LN#16, 0/1; LN#17, 0/16; LN#18, 0/1; LN#19, 0/5; LN#106R, 0/1; rt. Level 3, 0/0; rt. Level 4, 0/11; lt. Level 3, 0/7; lt. Level 4, 0/7; )
- ypN stage (AJCC 7th): ypN0, no metastasis in regional lymph nodes
- Lymphatic invasion: mural, intratumoral
- Venous invasion: not identified 
- Perineural invasion: not identified 
- Tumor border: infiltrative
- Stromal reaction: none
- Intramural metastasis: not identified
- Precancerous lesion: not identified
Note) Histopathologic mapping procedure was performed</t>
    <phoneticPr fontId="2" type="noConversion"/>
  </si>
  <si>
    <t>3.1 x 2.4 x 0.3 cm</t>
  </si>
  <si>
    <t>eso mass / 2R</t>
    <phoneticPr fontId="2" type="noConversion"/>
  </si>
  <si>
    <t>cT?N1M0</t>
    <phoneticPr fontId="2" type="noConversion"/>
  </si>
  <si>
    <t>강성언</t>
    <phoneticPr fontId="2" type="noConversion"/>
  </si>
  <si>
    <t>SNUH_154</t>
  </si>
  <si>
    <t>Esophagus, Ivor-lewis operation:
 SQUAMOUS CELL CARCINOMA
  - Neoadjuvant treatment: yes, chemoradiation therapy status
     (S12-58614: poorly differentiated carcinoma)
  - Tumor regression grade: grade 0 (complete response)
  - Depth of invasion (AJCC 7th ed.): no residual tumor (ypT0)
  - Surgical margin: free from carcinoma
  - Lymph node: metastasis in two out of 47 lymph nodes (ypN1)
     (LN#2R, 0/17; LN#2L, 0/1; LN#3P, 0/0; LN#4R, 0/3;
      LN#4L, 0/7; LN#7, 0/3; LN#8L, 0/7; LN#8M, 2/2; 
      LN#16, 0/0; LN#17, 0/2; LN#18, 0/3; LN#19, 0/0; 
      "Rt. recurrent laryngeal LN", 0/2)
  - Lymphatic invasion: not identified
  - Venous invasion: not identified
  - Perineural invasion: not identified</t>
    <phoneticPr fontId="2" type="noConversion"/>
  </si>
  <si>
    <t>Mckeown operation</t>
  </si>
  <si>
    <t>Esophageal mass / gross node (2R, 4R, Lt. gastri, celiac, neck node level 7)</t>
    <phoneticPr fontId="2" type="noConversion"/>
  </si>
  <si>
    <t>2R, 4R, Lt. gastric, celiac LN</t>
    <phoneticPr fontId="2" type="noConversion"/>
  </si>
  <si>
    <t>18-25</t>
    <phoneticPr fontId="2" type="noConversion"/>
  </si>
  <si>
    <r>
      <t>Incomplete RT</t>
    </r>
    <r>
      <rPr>
        <sz val="10"/>
        <color theme="1"/>
        <rFont val="돋움"/>
        <family val="3"/>
        <charset val="129"/>
      </rPr>
      <t>이긴</t>
    </r>
    <r>
      <rPr>
        <sz val="10"/>
        <color theme="1"/>
        <rFont val="Arial"/>
        <family val="2"/>
      </rPr>
      <t xml:space="preserve"> </t>
    </r>
    <r>
      <rPr>
        <sz val="10"/>
        <color theme="1"/>
        <rFont val="돋움"/>
        <family val="3"/>
        <charset val="129"/>
      </rPr>
      <t>한데</t>
    </r>
    <r>
      <rPr>
        <sz val="10"/>
        <color theme="1"/>
        <rFont val="Arial"/>
        <family val="2"/>
      </rPr>
      <t xml:space="preserve"> 41.4Gy </t>
    </r>
    <r>
      <rPr>
        <sz val="10"/>
        <color theme="1"/>
        <rFont val="돋움"/>
        <family val="3"/>
        <charset val="129"/>
      </rPr>
      <t>이상</t>
    </r>
    <r>
      <rPr>
        <sz val="10"/>
        <color theme="1"/>
        <rFont val="Arial"/>
        <family val="2"/>
      </rPr>
      <t xml:space="preserve"> </t>
    </r>
    <r>
      <rPr>
        <sz val="10"/>
        <color theme="1"/>
        <rFont val="돋움"/>
        <family val="3"/>
        <charset val="129"/>
      </rPr>
      <t>받았으니까</t>
    </r>
    <r>
      <rPr>
        <sz val="10"/>
        <color theme="1"/>
        <rFont val="Arial"/>
        <family val="2"/>
      </rPr>
      <t xml:space="preserve"> </t>
    </r>
    <r>
      <rPr>
        <sz val="10"/>
        <color theme="1"/>
        <rFont val="돋움"/>
        <family val="3"/>
        <charset val="129"/>
      </rPr>
      <t>넘어가기로</t>
    </r>
    <r>
      <rPr>
        <sz val="10"/>
        <color theme="1"/>
        <rFont val="Arial"/>
        <family val="2"/>
      </rPr>
      <t xml:space="preserve">. (28fx </t>
    </r>
    <r>
      <rPr>
        <sz val="10"/>
        <color theme="1"/>
        <rFont val="돋움"/>
        <family val="3"/>
        <charset val="129"/>
      </rPr>
      <t>계획에</t>
    </r>
    <r>
      <rPr>
        <sz val="10"/>
        <color theme="1"/>
        <rFont val="Arial"/>
        <family val="2"/>
      </rPr>
      <t xml:space="preserve"> 48.6Gy/27fx</t>
    </r>
    <r>
      <rPr>
        <sz val="10"/>
        <color theme="1"/>
        <rFont val="돋움"/>
        <family val="3"/>
        <charset val="129"/>
      </rPr>
      <t>인데</t>
    </r>
    <r>
      <rPr>
        <sz val="10"/>
        <color theme="1"/>
        <rFont val="Arial"/>
        <family val="2"/>
      </rPr>
      <t xml:space="preserve"> </t>
    </r>
    <r>
      <rPr>
        <sz val="10"/>
        <color theme="1"/>
        <rFont val="돋움"/>
        <family val="3"/>
        <charset val="129"/>
      </rPr>
      <t>어쨌든</t>
    </r>
    <r>
      <rPr>
        <sz val="10"/>
        <color theme="1"/>
        <rFont val="Arial"/>
        <family val="2"/>
      </rPr>
      <t xml:space="preserve"> </t>
    </r>
    <r>
      <rPr>
        <sz val="10"/>
        <color theme="1"/>
        <rFont val="돋움"/>
        <family val="3"/>
        <charset val="129"/>
      </rPr>
      <t>계획된</t>
    </r>
    <r>
      <rPr>
        <sz val="10"/>
        <color theme="1"/>
        <rFont val="Arial"/>
        <family val="2"/>
      </rPr>
      <t xml:space="preserve"> course</t>
    </r>
    <r>
      <rPr>
        <sz val="10"/>
        <color theme="1"/>
        <rFont val="돋움"/>
        <family val="3"/>
        <charset val="129"/>
      </rPr>
      <t>를</t>
    </r>
    <r>
      <rPr>
        <sz val="10"/>
        <color theme="1"/>
        <rFont val="Arial"/>
        <family val="2"/>
      </rPr>
      <t xml:space="preserve"> </t>
    </r>
    <r>
      <rPr>
        <sz val="10"/>
        <color theme="1"/>
        <rFont val="돋움"/>
        <family val="3"/>
        <charset val="129"/>
      </rPr>
      <t>완료하지</t>
    </r>
    <r>
      <rPr>
        <sz val="10"/>
        <color theme="1"/>
        <rFont val="Arial"/>
        <family val="2"/>
      </rPr>
      <t xml:space="preserve"> </t>
    </r>
    <r>
      <rPr>
        <sz val="10"/>
        <color theme="1"/>
        <rFont val="돋움"/>
        <family val="3"/>
        <charset val="129"/>
      </rPr>
      <t>못함</t>
    </r>
    <r>
      <rPr>
        <sz val="10"/>
        <color theme="1"/>
        <rFont val="Arial"/>
        <family val="2"/>
      </rPr>
      <t>.)</t>
    </r>
    <phoneticPr fontId="2" type="noConversion"/>
  </si>
  <si>
    <t>SNUH_149</t>
  </si>
  <si>
    <t>lung, liver, Lt. SCL</t>
    <phoneticPr fontId="2" type="noConversion"/>
  </si>
  <si>
    <t>in-field / out-field /distal</t>
    <phoneticPr fontId="2" type="noConversion"/>
  </si>
  <si>
    <r>
      <t>Esophagus and stomach, McKeown operation;
SQUAMOUS CELL CARCINOMA, moderately differentiated (G2)
- Neoadjuvant treatment: chemoradiation therapy. 
- Tumor regression grade: grade 1 (moderate regression)
- Gross type: superficial
- Location of tumor: middle thoracic
- Size of tumor: 3.9 x 1.9 x 0.7 cm. 
- Depth of invasion: invades adventitia
- ypT stage (AJCC 7th): ypT3
- Surgical margin: free from carcinoma
- Safety margin: proximal margin, 0.7 cm; distal margin, 16.3 cm; radial margin, 0.2 mm; 
- Number of metastatic lymph nodes: 2
- Number of examined lymph nodes: 16
  (LN#1L (see note), 1/4; LN#5, 0/0; LN#7, 0/1; LN#8L, 0/1; LN#8M, 0/0; LN#17, 0/8; LN#18, 0/2; LN#19, 0/0; right recurrent laryngeal LN, 0/0; cervical LN (see note), 1/1; )
- ypN stage (AJCC 7th): ypN1, metastasis in 1-2 regional lymph nodes
- Lymphatic invasion: not identified 
- Venous invasion: not identified 
- Perineural invasion: not identified 
- Tumor border: infiltrative
- Stromal reaction: none
- Intramural metastasis: absent
- Precancerous lesion: not identified
- Associated findings: none
- Additional lesion: none
.
Lung, right lower lobe, wedge resection:
 No tumor involvement
. 
Note) "LN #1L" and "cervical LN"</t>
    </r>
    <r>
      <rPr>
        <sz val="10"/>
        <color theme="1"/>
        <rFont val="돋움"/>
        <family val="3"/>
        <charset val="129"/>
      </rPr>
      <t>으로</t>
    </r>
    <r>
      <rPr>
        <sz val="10"/>
        <color theme="1"/>
        <rFont val="Arial"/>
        <family val="2"/>
      </rPr>
      <t xml:space="preserve"> </t>
    </r>
    <r>
      <rPr>
        <sz val="10"/>
        <color theme="1"/>
        <rFont val="돋움"/>
        <family val="3"/>
        <charset val="129"/>
      </rPr>
      <t>표시된</t>
    </r>
    <r>
      <rPr>
        <sz val="10"/>
        <color theme="1"/>
        <rFont val="Arial"/>
        <family val="2"/>
      </rPr>
      <t xml:space="preserve"> </t>
    </r>
    <r>
      <rPr>
        <sz val="10"/>
        <color theme="1"/>
        <rFont val="돋움"/>
        <family val="3"/>
        <charset val="129"/>
      </rPr>
      <t>조직에서</t>
    </r>
    <r>
      <rPr>
        <sz val="10"/>
        <color theme="1"/>
        <rFont val="Arial"/>
        <family val="2"/>
      </rPr>
      <t xml:space="preserve"> </t>
    </r>
    <r>
      <rPr>
        <sz val="10"/>
        <color theme="1"/>
        <rFont val="돋움"/>
        <family val="3"/>
        <charset val="129"/>
      </rPr>
      <t>림프절의</t>
    </r>
    <r>
      <rPr>
        <sz val="10"/>
        <color theme="1"/>
        <rFont val="Arial"/>
        <family val="2"/>
      </rPr>
      <t xml:space="preserve"> </t>
    </r>
    <r>
      <rPr>
        <sz val="10"/>
        <color theme="1"/>
        <rFont val="돋움"/>
        <family val="3"/>
        <charset val="129"/>
      </rPr>
      <t>증거는</t>
    </r>
    <r>
      <rPr>
        <sz val="10"/>
        <color theme="1"/>
        <rFont val="Arial"/>
        <family val="2"/>
      </rPr>
      <t xml:space="preserve"> </t>
    </r>
    <r>
      <rPr>
        <sz val="10"/>
        <color theme="1"/>
        <rFont val="돋움"/>
        <family val="3"/>
        <charset val="129"/>
      </rPr>
      <t>남아</t>
    </r>
    <r>
      <rPr>
        <sz val="10"/>
        <color theme="1"/>
        <rFont val="Arial"/>
        <family val="2"/>
      </rPr>
      <t xml:space="preserve"> </t>
    </r>
    <r>
      <rPr>
        <sz val="10"/>
        <color theme="1"/>
        <rFont val="돋움"/>
        <family val="3"/>
        <charset val="129"/>
      </rPr>
      <t>있지</t>
    </r>
    <r>
      <rPr>
        <sz val="10"/>
        <color theme="1"/>
        <rFont val="Arial"/>
        <family val="2"/>
      </rPr>
      <t xml:space="preserve"> </t>
    </r>
    <r>
      <rPr>
        <sz val="10"/>
        <color theme="1"/>
        <rFont val="돋움"/>
        <family val="3"/>
        <charset val="129"/>
      </rPr>
      <t>않으나</t>
    </r>
    <r>
      <rPr>
        <sz val="10"/>
        <color theme="1"/>
        <rFont val="Arial"/>
        <family val="2"/>
      </rPr>
      <t xml:space="preserve">, </t>
    </r>
    <r>
      <rPr>
        <sz val="10"/>
        <color theme="1"/>
        <rFont val="돋움"/>
        <family val="3"/>
        <charset val="129"/>
      </rPr>
      <t>암세포가</t>
    </r>
    <r>
      <rPr>
        <sz val="10"/>
        <color theme="1"/>
        <rFont val="Arial"/>
        <family val="2"/>
      </rPr>
      <t xml:space="preserve"> </t>
    </r>
    <r>
      <rPr>
        <sz val="10"/>
        <color theme="1"/>
        <rFont val="돋움"/>
        <family val="3"/>
        <charset val="129"/>
      </rPr>
      <t>관찰됩니다</t>
    </r>
    <r>
      <rPr>
        <sz val="10"/>
        <color theme="1"/>
        <rFont val="Arial"/>
        <family val="2"/>
      </rPr>
      <t xml:space="preserve">. </t>
    </r>
    <phoneticPr fontId="2" type="noConversion"/>
  </si>
  <si>
    <t>3.9 x 1.9 x 0.7 cm</t>
    <phoneticPr fontId="2" type="noConversion"/>
  </si>
  <si>
    <t>eso. mass / gross LNs (1L, 4L)</t>
    <phoneticPr fontId="2" type="noConversion"/>
  </si>
  <si>
    <t>Lt SCL, Lt para-tracheal LN</t>
    <phoneticPr fontId="2" type="noConversion"/>
  </si>
  <si>
    <t>진길우</t>
    <phoneticPr fontId="2" type="noConversion"/>
  </si>
  <si>
    <t>SNUH_148</t>
  </si>
  <si>
    <t>Esophagus, Ivor-Lewis operation:
 No residual tumor
  - Neoadjuvant treatment: yes (chemoradiation therapy) status
     (S13-64015: SQUAMOUS CELL CARCINOMA, poorly differentiated)
  - Tumor regression grade: grade 0 (complete response)
  - Depth of invasion (AJCC 7th ed.):
     no residual tumor (ypT0)
  - Surgical margin: free from carcinoma
  - Lymph node: no metastasis in 63 lymph nodes (ypN0)
     (LN#2R, 0/6; LN#2L, 0/0; LN#3P, 0/0; LN#4R, 0/5; LN#4L, 0/0;
      LN#5, 0/2; LN#7, 0/8; LN#8L, 0/0; LN#8M, 0/4; LN#16, 0/3; 
      LN#17, 0/3; LN#18, 0/1; LN#19, 0/1; Lt. level #2, 0/5; 
      Lt. level #26, 0/1; Lt. level #3, 0/4; Lt. level #4, 0/9; 
      Lt. level #5, 0/6; Rt. recurrent laryngeal, 0/5)
  - Lymphatic invasion: not identified
  - Venous invasion: not identified
  - Perineural invasion: not identified
(Note) A minor salivary gland is included in left level II lymph node station.</t>
    <phoneticPr fontId="2" type="noConversion"/>
  </si>
  <si>
    <t>Ivor lewis operation + 3-field LN dissection + MRND Lt (Ilvl II,III,IV,V)</t>
    <phoneticPr fontId="2" type="noConversion"/>
  </si>
  <si>
    <t>med elective + Lt scl, neck</t>
    <phoneticPr fontId="2" type="noConversion"/>
  </si>
  <si>
    <t>mid thorax egophageal mass, LN / Lt. II, III LN</t>
    <phoneticPr fontId="2" type="noConversion"/>
  </si>
  <si>
    <t>med + neck</t>
    <phoneticPr fontId="2" type="noConversion"/>
  </si>
  <si>
    <t>subcarinal LN, Lt neck lvl II/III</t>
    <phoneticPr fontId="2" type="noConversion"/>
  </si>
  <si>
    <t>cT2N1M1 (neck LN)</t>
    <phoneticPr fontId="2" type="noConversion"/>
  </si>
  <si>
    <t>이명석</t>
    <phoneticPr fontId="2" type="noConversion"/>
  </si>
  <si>
    <t>SNUH_143</t>
  </si>
  <si>
    <t>Esophagus and stomach, Ivor-Lewis operation;
SQUAMOUS CELL CARCINOMA, moderately differentiated (G2)
- Neoadjuvant treatment: chemoradiation therapy
- Tumor regression grade: grade 1 (moderate regression)
- Gross type: superficial
- Location of tumor: lower thoracic
- Size of tumor: 2.0 x 1.2 x 0.25 cm
- Depth of invasion: invades submucosa ; depth of submucosal invasion, 1.5 mm
- ypT stage (AJCC 7th): ypT1b
- Surgical margin: free from carcinoma
- Safety margin: proximal margin, 6.3 cm; distal margin, 4.7 cm; radial margin, 0.4 mm
- Number of metastatic lymph nodes: 2
- Number of examined lymph nodes: 37
  (LN#2L, 0/1; LN#3P, 0/1; LN#4L, 0/3; LN#5,0/8; LN#7,0/4; LN#8, 0/2; LN#8M, 1/3; LN#8L, 0/0; LN#16, 0/5; LN#17, 1/6; LN#18, 0/3; LN#19, 0/0; left recurrent laryngeal LN, 0/1)
- ypN stage (AJCC 7th): ypN1, metastasis in 1-2 regional lymph nodes
- Lymphatic invasion: not identified
- Venous invasion: not identified
- Perineural invasion: not identified
- Tumor border: infiltrative
- Stromal reaction: none
- Intramural metastasis: not identified
- Precancerous lesion: not identified
Tissue labeled "anvil RM (eso)", "anvil RM (sto)", excision:
No tumor involvement</t>
    <phoneticPr fontId="2" type="noConversion"/>
  </si>
  <si>
    <t>2.0 x 1.2 x 0.25 cm</t>
  </si>
  <si>
    <t>Ivor-Lewis operation + 2-field LN dissection</t>
    <phoneticPr fontId="2" type="noConversion"/>
  </si>
  <si>
    <t>eso. mass / 2L</t>
    <phoneticPr fontId="2" type="noConversion"/>
  </si>
  <si>
    <t>Lt upper paratracheal LN</t>
    <phoneticPr fontId="2" type="noConversion"/>
  </si>
  <si>
    <t>32-38</t>
    <phoneticPr fontId="2" type="noConversion"/>
  </si>
  <si>
    <t>이경철</t>
    <phoneticPr fontId="2" type="noConversion"/>
  </si>
  <si>
    <t>SNUH_138</t>
  </si>
  <si>
    <r>
      <t xml:space="preserve">Esophagectomy </t>
    </r>
    <r>
      <rPr>
        <sz val="10"/>
        <color theme="1"/>
        <rFont val="돋움"/>
        <family val="3"/>
        <charset val="129"/>
      </rPr>
      <t>이후</t>
    </r>
    <r>
      <rPr>
        <sz val="10"/>
        <color theme="1"/>
        <rFont val="Arial"/>
        <family val="2"/>
      </rPr>
      <t xml:space="preserve"> anastomtic leakage</t>
    </r>
    <phoneticPr fontId="2" type="noConversion"/>
  </si>
  <si>
    <t>docetaxel, VATS metastatectomy -&gt; mediastinal LN dissection -&gt; nivolumab</t>
    <phoneticPr fontId="2" type="noConversion"/>
  </si>
  <si>
    <t>distal -&gt; out-field</t>
    <phoneticPr fontId="2" type="noConversion"/>
  </si>
  <si>
    <t>lung -&gt; 4R</t>
    <phoneticPr fontId="2" type="noConversion"/>
  </si>
  <si>
    <t>Esopahgus and stomach, esophagectomy:
SQUAMOUS CELL CARCINOMA, poorly differentiated (G3)
- Neoadjuvant treatment: chemoradiation therapy
- Tumor regression grade: 2 (partial response; residual cancer with evident tumor regression but more than single cells or rare small groups of cancer cells)
- Location of tumor: middle thoracic
- Size of tumor: 4.4 x 3.2 x 0.5 cm
- Gross type: ulceroinfiltrative
- Depth of invasion: invades adventitia
- Surgical margin: free from carcinoma
- Safety margin: proximal margin (Fro#1), 2.4 cm; distal margin, 9.5 cm; radial margin, 1.5 mm
- Number of metastatic lymph nodes: 1
- Number of examined lymph nodes: 46
  (LN#2L, 1/3; LN#4L, 0/2; LN#5, 0/2; LN#7, 0/4; LN#8L, 0/4; LN#8M, 0/1; LN#150/2; LN#160/3; LN#170/4; LN#190/2; LN#106R0/2; Rt. Level #3, 0/4; Rt. Level #4, 0/2; Lt. level #3, 0/3; Lt. level #4, 0/8)
- Lymphatic invasion: not identified 
- Venous invasion: not identified 
- Perineural invasion: mural, intratumoral
- Tumor border: infiltrative
- Stromal reaction: none
- Intramural metastasis: not identified
- Precancerous lesion: not identified
Pathologic staging (AJCC 8th)
- pT category: pT3, invades adventitia
- pN category: pN1, metastasis in 1-2 regional lymph nodes
Tissue labelled "azygos vein", excision: No tumor involvement
Note) Histopathologic mapping procedure was performed.</t>
    <phoneticPr fontId="2" type="noConversion"/>
  </si>
  <si>
    <t>4.4 x 3.2 x 0.5 cm</t>
  </si>
  <si>
    <t>Robot-assisted esophagectomy (Mckeown), 3-field LN dissection</t>
    <phoneticPr fontId="2" type="noConversion"/>
  </si>
  <si>
    <t>scl/med no elective</t>
    <phoneticPr fontId="2" type="noConversion"/>
  </si>
  <si>
    <t>eso. mass / 1R</t>
    <phoneticPr fontId="2" type="noConversion"/>
  </si>
  <si>
    <t>Rt SCL, (para-esophageal LN?)</t>
    <phoneticPr fontId="2" type="noConversion"/>
  </si>
  <si>
    <t>cT4N0M1</t>
    <phoneticPr fontId="2" type="noConversion"/>
  </si>
  <si>
    <t>송유나</t>
    <phoneticPr fontId="2" type="noConversion"/>
  </si>
  <si>
    <t>SNUH_117</t>
  </si>
  <si>
    <t>Esophagus and stomach, McKeown operation:
No residual tumor
- Neoadjuvant treatment: chemoradiation therapy
- Tumor regression grade: grade 0 (complete regression)
- Depth of invasion: no residual tumor
- Surgical margin: free from carcinoma
- Number of metastatic lymph nodes: 0
- Number of examined lymph nodes: 56
  (LN#3p, 0/2; LN#4l, 0/3; LN#8l, 0/0 (see note2); LN#9l, 0/3; LN#8m, 0/1; LN#15, 0/2; LN#16, 0/3; LN#17, 0/7; LN#18, 0/1; LN#19, 0/1; LN#106R, 0/3 (see note3); Lt. level3 LN, 0/10; Lt. level4 LN, 0/14; Rt. level3 LN, 0/1; Rt. level4 LN, 0/5 (see note3))
- Lymphatic invasion: not identified 
- Venous invasion: not identified 
- Perineural invasion: not identified 
- Tumor border: not applicable
- Stromal reaction: not applicable
- Intramural metastasis: not identified
- Precancerous lesion: not identified
Pathologic staging (AJCC 8th)
- pT category: ypT0, no evidence of primary tumor
- pN category: ypN0, no metastasis in regional lymph nodes
Note1) Histopathologic mapping procedure was performed.
Note2) Accessory spleen was observed in "LN#8l".
Note3) Chronic granulomatous inflammation in "LN#106R" and "Rt. level4 LN".</t>
    <phoneticPr fontId="2" type="noConversion"/>
  </si>
  <si>
    <t>eso mass / gross LN</t>
    <phoneticPr fontId="2" type="noConversion"/>
  </si>
  <si>
    <t>cT1N0M1</t>
    <phoneticPr fontId="2" type="noConversion"/>
  </si>
  <si>
    <t>김정악</t>
    <phoneticPr fontId="2" type="noConversion"/>
  </si>
  <si>
    <t>SNUH_115</t>
  </si>
  <si>
    <t>2L, 4L, 3P, 11L, lung</t>
  </si>
  <si>
    <t>mediastinal LN dissection (2016/4/12) --&gt; DP #2 (2016/5/30 - 2016/6/20)</t>
    <phoneticPr fontId="2" type="noConversion"/>
  </si>
  <si>
    <t>in-field -&gt; distal</t>
    <phoneticPr fontId="2" type="noConversion"/>
  </si>
  <si>
    <t>2L, 4L --&gt; 2L, 4L, 3P, 11L, lung</t>
    <phoneticPr fontId="2" type="noConversion"/>
  </si>
  <si>
    <t>Esophagus and proximal stomach, McKeown operation;
SQUAMOUS CELL CARCINOMA, moderately differentiated (G2), residual
- Neoadjuvant treatment: chemoradiation therapy. 
- Tumor regression grade: grade 2 (minimal regression)
- Gross type: flat
- Location of tumor: mid thoracic
- Size of tumor: 3.2 x 2.0 x 0.8 cm. 
- Depth of invasion: invades adventitia
- ypT stage (AJCC 7th): ypT3
- Surgical margin: free from carcinoma
- Safety margin: proximal margin (Fro#1), 0.2 cm; distal margin, 9.9 cm; radial margin, 1mm; 
- Number of metastatic lymph nodes: 3
- Number of examined lymph nodes: 50
  (peritumoral LN, 0/1; LN#2L, 1/1; LN#5, 0/2; LN#7, 0/4; LN#8M, 0/3; LN#8L, 0/0; LN#15, 1/2; LN#16, 0/5; LN#17, 0/9; LN#18, 0/1; Rt. level 4, 0/5; Rt. level 5, 0/0; Lt. level 4, 0/16; Rt. Recurrent laryngeal LN, 1/1)
- ypN stage (AJCC 7th): ypN2, metastasis in 3-6 regional lymph nodes
- Lymphatic invasion: mural, peritumoral
- Venous invasion: mural, peritumoral
- Perineural invasion: not identified 
- Tumor border: infiltrative
- Stromal reaction: none
- Intramural metastasis: not identified
- Precancerous lesion: not identified
Note) Histopathologic mapping procedure was performed.</t>
    <phoneticPr fontId="2" type="noConversion"/>
  </si>
  <si>
    <t>mid thoracic</t>
  </si>
  <si>
    <t>3.2 x 2.0 x 0.8 cm</t>
    <phoneticPr fontId="2" type="noConversion"/>
  </si>
  <si>
    <t>eso. mass / 2R/2L</t>
    <phoneticPr fontId="2" type="noConversion"/>
  </si>
  <si>
    <t>25-31</t>
    <phoneticPr fontId="2" type="noConversion"/>
  </si>
  <si>
    <t>강창규</t>
    <phoneticPr fontId="2" type="noConversion"/>
  </si>
  <si>
    <t>SNUH_110</t>
  </si>
  <si>
    <t>Lt pyriform sinus, Lt neck, LT SCN</t>
    <phoneticPr fontId="2" type="noConversion"/>
  </si>
  <si>
    <t>cervical esophagus, Lt SCN, lower neck, mediastinal LN</t>
    <phoneticPr fontId="2" type="noConversion"/>
  </si>
  <si>
    <t>PD, need chemo</t>
    <phoneticPr fontId="2" type="noConversion"/>
  </si>
  <si>
    <t>Esopahgus and stomach, esophagectomy:
SQUAMOUS CELL CARCINOMA, moderately differentiated (G2)
- Neoadjuvant treatment: chemoradiation therapy 
- Tumor regression grade: 2 (partial response; residual cancer with evident tumor regression but more than single cells or rare small groups of cancer cells)
- Location of tumor: lower thoracic
- Size of tumor: 6.8 x 3.7 x 0.9 cm
- Gross type: ulceroinfiltrative
- Depth of invasion: invades adventitia
- Surgical margin: free from carcinoma
- Safety margin: proximal margin, 13.0 cm; distal margin, 14.0 cm; radial margin, 0.5 mm 
- Number of metastatic lymph nodes: 5
- Number of examined lymph nodes: 59
  (LN#2L, 0/0; LN#3P, 0/2; LN#4L, 0/2; LN#5, 0/6; LN#7, 1/2; LN#8L, 0/0; LN#8M, 0/0; LN#9L, 0/2; LN#10L, 0/2; LN#15, 0/0; LN#16, 0/2; LN#17, 0/7; LN#18, 0/8; LN#19, 0/2; LN#Rt. level 3, 0/2; LN#Rt. level 4, 1/6; LN#Lt. level 3, 0/1; LN#Lt. level 4, 3/15 (including Fro#4))
- Lymphatic invasion: not identified 
- Venous invasion: not identified 
- Perineural invasion: not identified 
- Tumor border: infiltrative
- Stromal reaction: none
- Intramural metastasis: not identified
- Precancerous lesion: not identified
Pathologic staging (AJCC 8th)
- pT category: ypT3, invades adventitia
- pN category: ypN2, metastasis in 3-6 regional lymph nodes
Tissue labelled "bronchial artery", "liver nodule"(Fro#1)" and "Rt. jugular vein margin (Fro#5)",  excision:
 No tumor involvement</t>
    <phoneticPr fontId="2" type="noConversion"/>
  </si>
  <si>
    <t>6.8 x 3.7 x 0.9 cm</t>
  </si>
  <si>
    <t>Robot-assisted esophagectomy (McKeown) + 3-field LN dissection</t>
    <phoneticPr fontId="2" type="noConversion"/>
  </si>
  <si>
    <r>
      <t>scl/med/abd, med</t>
    </r>
    <r>
      <rPr>
        <sz val="10"/>
        <color theme="1"/>
        <rFont val="돋움"/>
        <family val="3"/>
        <charset val="129"/>
      </rPr>
      <t>만</t>
    </r>
    <r>
      <rPr>
        <sz val="10"/>
        <color theme="1"/>
        <rFont val="Arial"/>
        <family val="2"/>
      </rPr>
      <t xml:space="preserve"> elective</t>
    </r>
    <phoneticPr fontId="2" type="noConversion"/>
  </si>
  <si>
    <t>eso. mass / gross LNs (Rt. level IV, Rt. Scl LN, perigastric LN)</t>
    <phoneticPr fontId="2" type="noConversion"/>
  </si>
  <si>
    <t>Rt. Neck lvl IV, SCN, paraesophageal, Lt grastric area</t>
    <phoneticPr fontId="2" type="noConversion"/>
  </si>
  <si>
    <t>신홍규</t>
    <phoneticPr fontId="2" type="noConversion"/>
  </si>
  <si>
    <t>SNUH_109</t>
  </si>
  <si>
    <t>hemoptysis, sputum</t>
    <phoneticPr fontId="2" type="noConversion"/>
  </si>
  <si>
    <t>Rt SCN, lower neck -&gt; anastomosis site recurrence, multiple mediastinal, lung, rib…</t>
    <phoneticPr fontId="2" type="noConversion"/>
  </si>
  <si>
    <t>anastomosis site recurrence, multiple mediastinal, lung, rib…</t>
    <phoneticPr fontId="2" type="noConversion"/>
  </si>
  <si>
    <t>RT to Rt. SCN, lower neck 30Gy/10fx (2016/6/20 - 7/1)</t>
    <phoneticPr fontId="2" type="noConversion"/>
  </si>
  <si>
    <r>
      <t>in-field / distal --&gt; out-field</t>
    </r>
    <r>
      <rPr>
        <sz val="10"/>
        <color theme="1"/>
        <rFont val="돋움"/>
        <family val="3"/>
        <charset val="129"/>
      </rPr>
      <t>도</t>
    </r>
    <r>
      <rPr>
        <sz val="10"/>
        <color theme="1"/>
        <rFont val="Arial"/>
        <family val="2"/>
      </rPr>
      <t xml:space="preserve"> </t>
    </r>
    <r>
      <rPr>
        <sz val="10"/>
        <color theme="1"/>
        <rFont val="돋움"/>
        <family val="3"/>
        <charset val="129"/>
      </rPr>
      <t>추가</t>
    </r>
    <phoneticPr fontId="2" type="noConversion"/>
  </si>
  <si>
    <t>Rt SCN, lower neck -&gt; multiple mediastinal, lung, rib…</t>
    <phoneticPr fontId="2" type="noConversion"/>
  </si>
  <si>
    <t xml:space="preserve">Esophagus and stomach, Ivor-Lewis operation;
SQUAMOUS CELL CARCINOMA, moderately differentiated (G2), residual
- Neoadjuvant treatment: chemoradiation therapy. 
- Tumor regression grade: grade 2 (minimal regression)
- Gross type: superficial
- Location of tumor: lower thoracic
- Size of tumor: 4.3 x 2.0 x 0.6 cm. 
- Depth of invasion: invades adventitia
- ypT stage (AJCC 7th): ypT3
- Surgical margin: involved by carcinoma
- Safety margin: proximal margin, 0.1 cm; distal margin, 10.3 cm; radial margin 0 mm; 
- Number of metastatic lymph nodes: 7
- Number of examined lymph nodes: 50
  (LN#2L, 0/2; LN#2L 4L, 0/0; LN#4L,0/0; LN#5, 0/6; LN#7, 0/8; LN#8L, 0/0; LN#8M, 1/2; LN#9R, 0/1; LN#16-1, 0/0; LN#16-2, 0/4; LN#17, 3/6; LN#18, 0/0; LN#19, 1/2; Lt. level 3, 0/4; Lt. level 4, 1/5; Rt. level 3, 0/4; Rt. level 4, 0/4; Rt. Recurrent laryngeal LN, 0/1; Lt. Recurrent laryngeal LN (Fro#1), 1/1; )
- ypN stage (AJCC 7th): ypN3, metastasis in 7 or more regional lymph nodes
- Lymphatic invasion: mural and extramural, 
- Venous invasion: not identified 
- Perineural invasion: not identified 
- Tumor border: infiltrative
- Stromal reaction: none
- Intramural metastasis: present (cardia)
- Precancerous lesion: not identified
- Associated findings: none
- Additional lesion: none
Tissue labeled "anastomosis site", excision:
 No tumor involvement  </t>
    <phoneticPr fontId="2" type="noConversion"/>
  </si>
  <si>
    <t>4.3 x 2.0 x 0.6 cm</t>
  </si>
  <si>
    <t>Robot-assisted Ivor Lewis operation + 3-field LN dissection</t>
    <phoneticPr fontId="2" type="noConversion"/>
  </si>
  <si>
    <t>eso. mass / 2R, 2L</t>
    <phoneticPr fontId="2" type="noConversion"/>
  </si>
  <si>
    <t>32?</t>
    <phoneticPr fontId="2" type="noConversion"/>
  </si>
  <si>
    <t>조춘환</t>
    <phoneticPr fontId="2" type="noConversion"/>
  </si>
  <si>
    <t>SNUH_107</t>
  </si>
  <si>
    <t>aspiration tendency</t>
    <phoneticPr fontId="2" type="noConversion"/>
  </si>
  <si>
    <t>SCN, PAN</t>
    <phoneticPr fontId="2" type="noConversion"/>
  </si>
  <si>
    <t>pall FP #4 ('16.10.27~ 17.1.16)</t>
    <phoneticPr fontId="2" type="noConversion"/>
  </si>
  <si>
    <t>Lt SCN, retroperitoneal retrocrural, retrocaval, aortocaval, paraaortic and right common iliac area</t>
    <phoneticPr fontId="2" type="noConversion"/>
  </si>
  <si>
    <t>Esophagus and proximal stomach, Ivor-Lewis operation:
No residual tumor 
- Neoadjuvant treatment: yes, chemoradiation therapy status
    (C15-6862: Squamous cell carcinoma, moderately differentiated)
- Tumor regression grade: grade 0 (complete response)
- Depth of invasion (AJCC 7th ed.): no residual tumor
- ypT stage: ypT0
- Surgical margin: free from carcinoma
- Number of metastatic lymph nodes: 0
- Number of examined lymph nodes: 53
  (LN# 3P, 0/2; LN# 4L, 0/0; LN# 5, 0/3; LN# 7, 0/6; LN# 8L, 0/5; LN# 8M, 0/1; LN# 10L, 0/1; LN# 16, 0/2; LN# 18, 0/5; LN# 19, 0/4; Rt. level 3-1 LN, 0/5; Rt. level 3-2 LN, 0/7; Lt. level 3 LN, 0/5; Lt. level 4 LN, 0/5; Lt. level 5 LN, 0/0; Rt. recurrent laryngeal LN, 0/2; )
- ypN stage (AJCC 7th): ypN0, no metastasis in regional lymph nodes
- Lymphatic invasion: not identified 
- Venous invasion: not identified 
- Perineural invasion: not identified 
- Associated lesion: 
  Chronic peptic ulcer in stomach body, lesser curvature
Tissue labeled "anastomosis site", excision: No tumor involvement
Note) Histopathologic mapping procedure was performed</t>
    <phoneticPr fontId="2" type="noConversion"/>
  </si>
  <si>
    <t>Hybrid Robot Ivor Lewis operation + 3-field LN dissection</t>
    <phoneticPr fontId="2" type="noConversion"/>
  </si>
  <si>
    <t>bilat scl + med (elective) + abd (no elective)</t>
    <phoneticPr fontId="2" type="noConversion"/>
  </si>
  <si>
    <t>bilat scl / med elective, abd</t>
    <phoneticPr fontId="2" type="noConversion"/>
  </si>
  <si>
    <t>eso. mass / both Scl LN, 2L, abd. LNs</t>
    <phoneticPr fontId="2" type="noConversion"/>
  </si>
  <si>
    <t>Lt peri-gastric, Lt upper paratracheal, bilat SCN</t>
    <phoneticPr fontId="2" type="noConversion"/>
  </si>
  <si>
    <t>4cm above GEJ</t>
    <phoneticPr fontId="2" type="noConversion"/>
  </si>
  <si>
    <t>김만성</t>
    <phoneticPr fontId="2" type="noConversion"/>
  </si>
  <si>
    <t>SNUH_104</t>
  </si>
  <si>
    <t>reflux, epigastric pain, anorexia, RUL fibrosis with no symptom</t>
    <phoneticPr fontId="2" type="noConversion"/>
  </si>
  <si>
    <r>
      <t xml:space="preserve">Esophagus, Ivor-Lewis operation:
 No residual tumor (see note)
  - Neoadjuvant treatment: yes (chemoradiation therapy)
     (S13-37544: squamous cell carcinoma)
  - Tumor regression grade: grade 0 (complete response)
  - Surgical margin: free from carcinoma
  - Lymph node: 
     metastasis in one out of 46 lymph nodes (pN1) (see note)
     (LN#2, 0/13; LN#4, 0/3; LN#7, 0/9; LN#8L, 0/0;
      LN#8M, 0/0; LN#10, 0/2; LN#10R, 0/1; LN#17-1: 1/4; 
      LN#17-2: 0/6; LN#8, 0/1; LN#19, 0/5; LN#20, 0/2; 
      Rt. recurrent laryngeal: 0/4) 
  - Lymphatic invasion: not identified
  - Venous invasion: not identified
  - Perineural invasion: not identified
(Note) </t>
    </r>
    <r>
      <rPr>
        <sz val="10"/>
        <color theme="1"/>
        <rFont val="돋움"/>
        <family val="3"/>
        <charset val="129"/>
      </rPr>
      <t>식도의</t>
    </r>
    <r>
      <rPr>
        <sz val="10"/>
        <color theme="1"/>
        <rFont val="Arial"/>
        <family val="2"/>
      </rPr>
      <t xml:space="preserve"> </t>
    </r>
    <r>
      <rPr>
        <sz val="10"/>
        <color theme="1"/>
        <rFont val="돋움"/>
        <family val="3"/>
        <charset val="129"/>
      </rPr>
      <t>주병변은</t>
    </r>
    <r>
      <rPr>
        <sz val="10"/>
        <color theme="1"/>
        <rFont val="Arial"/>
        <family val="2"/>
      </rPr>
      <t xml:space="preserve"> </t>
    </r>
    <r>
      <rPr>
        <sz val="10"/>
        <color theme="1"/>
        <rFont val="돋움"/>
        <family val="3"/>
        <charset val="129"/>
      </rPr>
      <t>남아있지</t>
    </r>
    <r>
      <rPr>
        <sz val="10"/>
        <color theme="1"/>
        <rFont val="Arial"/>
        <family val="2"/>
      </rPr>
      <t xml:space="preserve"> </t>
    </r>
    <r>
      <rPr>
        <sz val="10"/>
        <color theme="1"/>
        <rFont val="돋움"/>
        <family val="3"/>
        <charset val="129"/>
      </rPr>
      <t>않으며</t>
    </r>
    <r>
      <rPr>
        <sz val="10"/>
        <color theme="1"/>
        <rFont val="Arial"/>
        <family val="2"/>
      </rPr>
      <t xml:space="preserve"> </t>
    </r>
    <r>
      <rPr>
        <sz val="10"/>
        <color theme="1"/>
        <rFont val="돋움"/>
        <family val="3"/>
        <charset val="129"/>
      </rPr>
      <t>림프절에</t>
    </r>
    <r>
      <rPr>
        <sz val="10"/>
        <color theme="1"/>
        <rFont val="Arial"/>
        <family val="2"/>
      </rPr>
      <t xml:space="preserve"> </t>
    </r>
    <r>
      <rPr>
        <sz val="10"/>
        <color theme="1"/>
        <rFont val="돋움"/>
        <family val="3"/>
        <charset val="129"/>
      </rPr>
      <t>한개의</t>
    </r>
    <r>
      <rPr>
        <sz val="10"/>
        <color theme="1"/>
        <rFont val="Arial"/>
        <family val="2"/>
      </rPr>
      <t xml:space="preserve"> </t>
    </r>
    <r>
      <rPr>
        <sz val="10"/>
        <color theme="1"/>
        <rFont val="돋움"/>
        <family val="3"/>
        <charset val="129"/>
      </rPr>
      <t>전이</t>
    </r>
    <r>
      <rPr>
        <sz val="10"/>
        <color theme="1"/>
        <rFont val="Arial"/>
        <family val="2"/>
      </rPr>
      <t xml:space="preserve"> </t>
    </r>
    <r>
      <rPr>
        <sz val="10"/>
        <color theme="1"/>
        <rFont val="돋움"/>
        <family val="3"/>
        <charset val="129"/>
      </rPr>
      <t>병변이</t>
    </r>
    <r>
      <rPr>
        <sz val="10"/>
        <color theme="1"/>
        <rFont val="Arial"/>
        <family val="2"/>
      </rPr>
      <t xml:space="preserve"> </t>
    </r>
    <r>
      <rPr>
        <sz val="10"/>
        <color theme="1"/>
        <rFont val="돋움"/>
        <family val="3"/>
        <charset val="129"/>
      </rPr>
      <t>관찰됩니다</t>
    </r>
    <r>
      <rPr>
        <sz val="10"/>
        <color theme="1"/>
        <rFont val="Arial"/>
        <family val="2"/>
      </rPr>
      <t>.</t>
    </r>
    <phoneticPr fontId="2" type="noConversion"/>
  </si>
  <si>
    <t>primary GTV / gross node</t>
    <phoneticPr fontId="2" type="noConversion"/>
  </si>
  <si>
    <t>right upper trachea posterior space, right upper paratracheal LN</t>
    <phoneticPr fontId="2" type="noConversion"/>
  </si>
  <si>
    <t>28-34</t>
    <phoneticPr fontId="2" type="noConversion"/>
  </si>
  <si>
    <t>김병기</t>
    <phoneticPr fontId="2" type="noConversion"/>
  </si>
  <si>
    <t>SNUH_098</t>
  </si>
  <si>
    <t>Esophagus and stomach, esophagectomy:
SQUAMOUS CELL CARCINOMA with in regional lymph nodes 
- No residual tumor in primary site
- Neoadjuvant treatment: chemoradiation therapy
- Tumor regression grade: grade 1 (moderate regression)
- Depth of invasion: no residual tumor
- Surgical margin: free from carcinoma
- Number of metastatic lymph nodes: 1
- Number of examined lymph nodes: 71
  (lesser curvature LN, 0/2; omentun LN, 0/0; LN#2L, 0/2; LN#3P, 0/1; LN#4L, 0/0; LN#5, 0/10; LN#7, 0/15; LN#8L, 0/1; LN#8M, 0/5; LN#9R, 0/1; LN#10, 0/1; LN#16, 0/3; LN#17, 1/8; LN#18, 0/1; LN#19, 0/3; LN#106R, 0/3; LN Rt, level3, 0/3; LN Rt, level4, 0/6; LN Lt, level3, 0/1; LN Lt, level4, 0/5)
- Lymphatic invasion: not identified 
- Venous invasion: not identified 
- Perineural invasion: not identified 
- Tumor border: not applicable
- Stromal reaction: not applicable
- Intramural metastasis: not identified
- Precancerous lesion: not identified
Pathologic staging (AJCC 8th)
- pT category: ypT0, no evidence of primary tumor
- pN category: ypN1, no metastasis in regional lymph nodes
Omentum, omentectomy: No tumor involvement
Stomach, fundus, excision: No tumor involvement
Blood vessel, "bronchial artery", excision: No tumor involvement
Lung, "RLL wedge #1" and "RLL wedge #2", wedge resection: 
1. No tumor involvement
2. Adhesion and fibrosis in pleura</t>
    <phoneticPr fontId="2" type="noConversion"/>
  </si>
  <si>
    <t>eso. mass / perieso LN</t>
    <phoneticPr fontId="2" type="noConversion"/>
  </si>
  <si>
    <t>한석태</t>
    <phoneticPr fontId="2" type="noConversion"/>
  </si>
  <si>
    <t>SNUH_096</t>
  </si>
  <si>
    <t>cough, reflux, constrictive pericarditis</t>
    <phoneticPr fontId="2" type="noConversion"/>
  </si>
  <si>
    <t>2016.3.1</t>
    <phoneticPr fontId="2" type="noConversion"/>
  </si>
  <si>
    <t>Rt 5th and 6th rib, left kidney, liver</t>
  </si>
  <si>
    <t>Lt interlobar region / Rt 5th and 6th rib, left kidney, liver</t>
    <phoneticPr fontId="2" type="noConversion"/>
  </si>
  <si>
    <t>Esophagus and stomach, Ivor-Lewis operation;
SQUAMOUS CELL CARCINOMA, moderately differentiated (G2)
- Neoadjuvant treatment: chemoradiation therapy. 
- Tumor regression grade: grade 2 (minimal regression)
- Gross type: ulceroinfiltrative
- Location of tumor: lower thoracic
- Size of tumor: 1.8 x 1.3 x 0.5 cm. 
- Depth of invasion: invades adventitia
- ypT stage (AJCC 7th): ypT3
- Surgical margin: free from carcinoma
- Safety margin: proximal margin, 7.9 cm; distal margin, 5.2 cm; radial margin, 1.5 mm; 
- Number of metastatic lymph nodes: 1
- Number of examined lymph nodes: 38
  (Rigth recurrent laryngeal LN, 1/3; LN# 2L 0/3; LN# 4L 0/3; LN# 5 0/2; LN# 7 0/3; LN# 8L 0/0; LN# 8M 0/0; LN# 9 0/2; LN# 10L 0/3; LN# 17 0/7; LN# 18 0/9; LN# 19 0/2; LN# 20 0/1; )
- ypN stage (AJCC 7th): ypN1, metastasis in 1-2 regional lymph nodes
- Lymphatic invasion: not identified 
- Venous invasion: not identified 
- Perineural invasion: mural, 
- Tumor border: infiltrative
- Stromal reaction: none
- Intramural metastasis: not identified
- Precancerous lesion: not identified</t>
    <phoneticPr fontId="2" type="noConversion"/>
  </si>
  <si>
    <t>1.8 x 1.3 x 0.5 cm</t>
  </si>
  <si>
    <t>eso. mass / paraeso LN</t>
    <phoneticPr fontId="2" type="noConversion"/>
  </si>
  <si>
    <t>고상영</t>
    <phoneticPr fontId="2" type="noConversion"/>
  </si>
  <si>
    <t>SNUH_092</t>
  </si>
  <si>
    <t>cough, dysphagia</t>
    <phoneticPr fontId="2" type="noConversion"/>
  </si>
  <si>
    <t>Esophagus and stomach, McKeown operation:
No residual tumor
- Neoadjuvant treatment: chemoradiation therapy. 
- Tumor regression grade: grade 0 (complete regression)
- Depth of invasion: no residual tumor
- Surgical margin: free from carcinoma
- Number of metastatic lymph nodes: 0
- Number of examined lymph nodes: 58
  (LN#2L, 0/3; LN#4L, 0/1; LN#5, 0/1; LN#7, 0/6; LN#8M, 0/1; LN#16, 0/2; LN#17, 0/6; LN#18, 0/7; LN#18L, 0/4; LN#19, 0/2; LN#106R, 0/2; Rt. Level3, 0/2; Lt. Level3, 0/9; Rt, Level4, 0/3; Lt. level4, 0/9; Lt. level6 (Fro#1), 0/0)
- Lymphatic invasion: not identified 
- Venous invasion: not identified 
- Perineural invasion: not identified 
Pathologic staging (AJCC 8th)
- pT category: ypT0, no evidence of primary tumor
- pN category: ypN0, no metastasis in regional lymph nodes
Tissue labelled "bronchial artery", excision:
 No tumor involvement
Note) Histopathologic mapping procedure was performed.</t>
    <phoneticPr fontId="2" type="noConversion"/>
  </si>
  <si>
    <t>med LN (no elective)</t>
    <phoneticPr fontId="2" type="noConversion"/>
  </si>
  <si>
    <t>eso mass / gross LNs (2R, Lt. SCN)</t>
    <phoneticPr fontId="2" type="noConversion"/>
  </si>
  <si>
    <t>2R, left supraclavicular fossa</t>
    <phoneticPr fontId="2" type="noConversion"/>
  </si>
  <si>
    <t>cT4aN2M1</t>
    <phoneticPr fontId="2" type="noConversion"/>
  </si>
  <si>
    <t>송기필</t>
    <phoneticPr fontId="2" type="noConversion"/>
  </si>
  <si>
    <t>SNUH_083</t>
  </si>
  <si>
    <r>
      <t xml:space="preserve">aspiration pneumonia </t>
    </r>
    <r>
      <rPr>
        <sz val="10"/>
        <color theme="1"/>
        <rFont val="돋움"/>
        <family val="3"/>
        <charset val="129"/>
      </rPr>
      <t>악화</t>
    </r>
    <phoneticPr fontId="2" type="noConversion"/>
  </si>
  <si>
    <t>out-field</t>
    <phoneticPr fontId="2" type="noConversion"/>
  </si>
  <si>
    <r>
      <t xml:space="preserve">Lt upper paratrachea, supraclavicular area (anastomosis site? </t>
    </r>
    <r>
      <rPr>
        <sz val="10"/>
        <color theme="1"/>
        <rFont val="돋움"/>
        <family val="3"/>
        <charset val="129"/>
      </rPr>
      <t>글쌔</t>
    </r>
    <r>
      <rPr>
        <sz val="10"/>
        <color theme="1"/>
        <rFont val="Arial"/>
        <family val="2"/>
      </rPr>
      <t>…)</t>
    </r>
    <phoneticPr fontId="2" type="noConversion"/>
  </si>
  <si>
    <r>
      <t>Esophagus, Esophagectomy;
SQUAMOUS CELL CARCINOMA, moderately differentiated (G2)
- Neoadjuvant treatment: chemoradiation therapy
- Tumor regression grade: grade 2 (moderate regression)
- Location of tumor: middle thoracic
- Gross type: diffuse infiltrative
- Depth of invasion: invades adventitia
- Surgical margin: free from carcinoma
- Safety margin: proximal margin, 3.1 cm; distal margin, 5.6 cm; radial margin, 0.2 mm
- Number of metastatic lymph nodes: 9
- Number of examined lymph nodes: 33
  (LN#2L, 0/0; LN#3P, 0/1; LN#5, 0/2; LN#7, 0/2; LN#8, 0/0; LN#8L, 1/1; LN#8M, 0/0; LN#10L, 0/1; LN#16, 3/3; LN#17, 1/5; LN#18, 1/1; LN#19, 0/0; LN#20, 0/1; LN#106R, 0/1; LN rt. level 3, 0/4; LN rt. level 4, 1/5; LN lt. level 3, 0/1; LN lt. level 4, 1/4; "bronchial artery", 1/1)
- Lymphatic invasion: mural and extramural, intratumoral and peritumoral
- Venous invasion: extramural, peritumoral
- Perineural invasion: mural, intratumoral
- Tumor border: infiltrative
- Stromal reaction: none
- Intramural metastasis: not identified
- Precancerous lesion: not identified
Pathologic staging (AJCC 8th)
- pT category: ypT3, invades adventitia
- pN category: ypN3, metastasis in 7 or more regional lymph nodes
Tissue labelled "bronchial artery", "thoracic duct": No tumor involvement
Tissue labelled "LN 2L": Involvement of carcinoma (see note1)
(Note1) "LN 2L"</t>
    </r>
    <r>
      <rPr>
        <sz val="10"/>
        <color theme="1"/>
        <rFont val="돋움"/>
        <family val="3"/>
        <charset val="129"/>
      </rPr>
      <t>에서</t>
    </r>
    <r>
      <rPr>
        <sz val="10"/>
        <color theme="1"/>
        <rFont val="Arial"/>
        <family val="2"/>
      </rPr>
      <t xml:space="preserve"> </t>
    </r>
    <r>
      <rPr>
        <sz val="10"/>
        <color theme="1"/>
        <rFont val="돋움"/>
        <family val="3"/>
        <charset val="129"/>
      </rPr>
      <t>림프절의</t>
    </r>
    <r>
      <rPr>
        <sz val="10"/>
        <color theme="1"/>
        <rFont val="Arial"/>
        <family val="2"/>
      </rPr>
      <t xml:space="preserve"> </t>
    </r>
    <r>
      <rPr>
        <sz val="10"/>
        <color theme="1"/>
        <rFont val="돋움"/>
        <family val="3"/>
        <charset val="129"/>
      </rPr>
      <t>증거는</t>
    </r>
    <r>
      <rPr>
        <sz val="10"/>
        <color theme="1"/>
        <rFont val="Arial"/>
        <family val="2"/>
      </rPr>
      <t xml:space="preserve"> </t>
    </r>
    <r>
      <rPr>
        <sz val="10"/>
        <color theme="1"/>
        <rFont val="돋움"/>
        <family val="3"/>
        <charset val="129"/>
      </rPr>
      <t>관찰되지</t>
    </r>
    <r>
      <rPr>
        <sz val="10"/>
        <color theme="1"/>
        <rFont val="Arial"/>
        <family val="2"/>
      </rPr>
      <t xml:space="preserve"> </t>
    </r>
    <r>
      <rPr>
        <sz val="10"/>
        <color theme="1"/>
        <rFont val="돋움"/>
        <family val="3"/>
        <charset val="129"/>
      </rPr>
      <t>않습니다</t>
    </r>
    <r>
      <rPr>
        <sz val="10"/>
        <color theme="1"/>
        <rFont val="Arial"/>
        <family val="2"/>
      </rPr>
      <t>.
(Note2) Histopathologic mapping procedure was performed.</t>
    </r>
    <phoneticPr fontId="2" type="noConversion"/>
  </si>
  <si>
    <t>grade 2 (moderate regression)</t>
  </si>
  <si>
    <t>Robotic esophagectomy with 3 field LN dissection</t>
    <phoneticPr fontId="2" type="noConversion"/>
  </si>
  <si>
    <t>periesophageal LN in EUS</t>
    <phoneticPr fontId="2" type="noConversion"/>
  </si>
  <si>
    <t>양근모</t>
    <phoneticPr fontId="2" type="noConversion"/>
  </si>
  <si>
    <t>SNUH_080</t>
  </si>
  <si>
    <t>Esophagus and stomach, esophagectomy:
 SQUAMOUS CELL CARCINOMA , moderately differentiated 
- Post-chemoradiation therapy status (S 17-67696: Squmaous cell carcinoma, moderately differentiated)
- Neoadjuvant treatment: chemoradiation therapy
- Tumor regression: grade 1 (moderate regression)
- depth of invasion: no residual tumor in esophageal wall
- Surgical margin: free from carcinoma
- Number of metastatic lymph nodes: 3 
- Number of examined lymph nodes: 69   (LN#2L, 0/3; LN#3P, 0/1; LN#4R, 0/1; LN#4L, 0/4; LN#5, 0/3; LN#7, 0/9; LN#8L, 0/2; LN#8M, 0/0; LN#17, 1/10; LN#18, 0/1; LN#106R, 1/2; Rt. Level #3 LN, 0/8; Lt. Level #3 LN, 0/9; Rt. Level #4 LN, 1/9; Lt. Level #4 LN, 0/7 ; )
- Lymphatic invasion: not identified  
- Venous invasion: not identified  
- Perineural invasion: not identified  
- Tumor border: not applicable 
- Stromal reaction: not applicable 
- Intramural metastasis: not identified  
Pathologic staging (AJCC 8th) 
- pT category: ypT0  
- pN category: ypN2, metastasis in 3-6 regional lymph nodes
2. Squmoous dysplasia, low grade 
- Location of dysplasia: middle thoracic 
- Size of dysplasia: 0.1 x 0.1 cm. 
- Surgical margin: free from dysplasia
- Safety margin:  proximal margin, 0.3 cm from low grade dysplasia;
                      distal margin, 23.7 cm from low grade dysplasia; 
                      radial margin, 3 mm from low grade dysplasia
Note) Histopathologic mapping procedure was performed.</t>
    <phoneticPr fontId="2" type="noConversion"/>
  </si>
  <si>
    <t>eso mass / gross LNs (Rt. ScN, 2R, 2L)</t>
    <phoneticPr fontId="2" type="noConversion"/>
  </si>
  <si>
    <t>upper paraesophageal, 2R, 2L</t>
    <phoneticPr fontId="2" type="noConversion"/>
  </si>
  <si>
    <t>손병근</t>
    <phoneticPr fontId="2" type="noConversion"/>
  </si>
  <si>
    <t>SNUH_077</t>
  </si>
  <si>
    <t>#. Esophageal ca (SqCC, UI 22-30cm), cT3-4N2M0</t>
  </si>
  <si>
    <t>cough (2015/1/21 TS)</t>
    <phoneticPr fontId="2" type="noConversion"/>
  </si>
  <si>
    <t>multiple peritoneal seeding / LN metastasis in retroperitonium, perisigmoidal, right cardiophrenic and right supraclavicular fossa / bone / liver</t>
    <phoneticPr fontId="2" type="noConversion"/>
  </si>
  <si>
    <t>pleural seeding, peritoneal seeding</t>
    <phoneticPr fontId="2" type="noConversion"/>
  </si>
  <si>
    <t>pall DP#6</t>
  </si>
  <si>
    <t>hopeless discharge</t>
    <phoneticPr fontId="2" type="noConversion"/>
  </si>
  <si>
    <t>Esophagus and stomach, McKeown operation;
No residual tumor in esophageal wall
Metastatic squamous cell carcinoma, moderately differentiated in lymph nodes only
- Neoadjuvant treatment: chemoradiation therapy. 
- Tumor regression grade: grade 0 (total regression) in esophageal wall
- Gross type: unclassfiable
- Location of tumor:  no residual tumor
- Size of tumor: no residual tumor
- Depth of invasion: no residual tumor in esophagus wall
- pT stage (AJCC 7th): ypT0
- Surgical margin: free from carcinoma
- Number of metastatic lymph nodes: 7
- Number of examined lymph nodes: 66
  (LN#4L, 0/3; LN#5, 0/8; LN#7, 0/7; LN#8L, 0/7; LN#8M, 0/5; LN#8u, 0/0; LN#10, 0/2; LN#15, 0/3; LN#16, 0/8; LN#19, 0/2; LN#20, 0/0; rt recurrent laryngreal LN, 1/3; lt level 3, 3/8; lt level 4,5, 1/5; lt level 6, 2/2; superficial anterior level 6, 0/0; rt level 6, 0/3; )
- pN stage (AJCC 7th): ypN3, metastasis in 7 or more regional lymph nodes
- Lymphatic invasion: not identified
- Venous invasion: not identified 
- Perineural invasion: not identified 
- Tumor border: infiltrative
- Stromal reaction: none
- Intramural metastasis: not identified
- Precancerous lesion: not identified
- Other findings: radiation changes (mucosal atrophy, calcification of small arteries)
Note) Histopathologic mapping procedure was performed.
Note) A parathyroid gland is found in right level 6 lymph node.
Note) Nerve ganglion is included in LN#20.</t>
    <phoneticPr fontId="2" type="noConversion"/>
  </si>
  <si>
    <t>grade 0 (total regression) in esophageal wall</t>
  </si>
  <si>
    <t>ypT0N3</t>
    <phoneticPr fontId="2" type="noConversion"/>
  </si>
  <si>
    <t>mckeown, 3-field LN dissection</t>
    <phoneticPr fontId="2" type="noConversion"/>
  </si>
  <si>
    <r>
      <t>Lt scl, med, abd (abd</t>
    </r>
    <r>
      <rPr>
        <sz val="10"/>
        <color theme="1"/>
        <rFont val="돋움"/>
        <family val="3"/>
        <charset val="129"/>
      </rPr>
      <t>는</t>
    </r>
    <r>
      <rPr>
        <sz val="10"/>
        <color theme="1"/>
        <rFont val="Arial"/>
        <family val="2"/>
      </rPr>
      <t xml:space="preserve"> elective </t>
    </r>
    <r>
      <rPr>
        <sz val="10"/>
        <color theme="1"/>
        <rFont val="돋움"/>
        <family val="3"/>
        <charset val="129"/>
      </rPr>
      <t>없음</t>
    </r>
    <r>
      <rPr>
        <sz val="10"/>
        <color theme="1"/>
        <rFont val="Arial"/>
        <family val="2"/>
      </rPr>
      <t>)</t>
    </r>
    <phoneticPr fontId="2" type="noConversion"/>
  </si>
  <si>
    <r>
      <t>Lt scl / med / abd (abd</t>
    </r>
    <r>
      <rPr>
        <sz val="10"/>
        <color theme="1"/>
        <rFont val="돋움"/>
        <family val="3"/>
        <charset val="129"/>
      </rPr>
      <t>는</t>
    </r>
    <r>
      <rPr>
        <sz val="10"/>
        <color theme="1"/>
        <rFont val="Arial"/>
        <family val="2"/>
      </rPr>
      <t xml:space="preserve"> elective </t>
    </r>
    <r>
      <rPr>
        <sz val="10"/>
        <color theme="1"/>
        <rFont val="돋움"/>
        <family val="3"/>
        <charset val="129"/>
      </rPr>
      <t>없음</t>
    </r>
    <r>
      <rPr>
        <sz val="10"/>
        <color theme="1"/>
        <rFont val="Arial"/>
        <family val="2"/>
      </rPr>
      <t>)</t>
    </r>
    <phoneticPr fontId="2" type="noConversion"/>
  </si>
  <si>
    <t>eso. Mass / ultiple mediastinal LNs, Lt SCL, perigastric LN</t>
    <phoneticPr fontId="2" type="noConversion"/>
  </si>
  <si>
    <t>SCL+med+abd</t>
    <phoneticPr fontId="0" type="noConversion"/>
  </si>
  <si>
    <t>left supraclavicular area, mediastinum (2R, 4R, 7, 8, 9L), &amp; left gastric area</t>
  </si>
  <si>
    <t>장동은</t>
    <phoneticPr fontId="2" type="noConversion"/>
  </si>
  <si>
    <t>SNUH_073</t>
  </si>
  <si>
    <t>#. Esophageal ca (SqCC, mid-thoracic), cT3N2M0</t>
  </si>
  <si>
    <t>Esophagus and stomach, McKeown operation;
MULTIPLE SQUAMOUS CELL CARCINOMAS
FIRST CARCINOMA
SQUAMOUS CELL CARCINOMA, moderately differentiated (G2)
- Neoadjuvant treatment: chemoradiation therapy
- Tumor regression grade: grade 2 (minimal regression)
- Gross type: ulceroinfiltrative
- Location of tumor: lower thoracic
- Size of redisual tumor: 1.6 x 1.2 x 0.4 cm. 
- Depth of invasion: invades muscularis propria
- ypT stage (AJCC 7th): ypT2
- Surgical margin: free from carcinoma
- Safety margin: proximal margin, 3.7 cm; distal margin, 14.8 cm; radial margin, 2 mm; 
- Number of metastatic lymph nodes: 5
- Number of examined lymph nodes: 81
  (LN#2L, 0/5; LN#3P, 0/3; LN#4L, 0/1; LN#5, 1/11; LN#7, 0/3; LN#8L, 0/4; LN#8M, 2/4; LN#10, 0/5; LN#15, 0/1; LN#16, 0/3; LN#17-1, 0/6; LN#17-2, 0/2; LN#17-3, 0/0; LN#18, 0/1; LN#19, 1/3; Rt. Level 3, 0/2; Rt. Level 4, 0/7; Rt. Recurrent laryngeal, 0/6; Lt. level 3, 0/2; Lt. level 4, 0/11; "LN (Fro #2)", 1/1)
- ypN stage (AJCC 7th): N2, metastasis in 3-6 regional lymph nodes
- Lymphatic invasion: mural, peritumoral
- Venous invasion: not identified 
- Perineural invasion: not identified 
- Tumor border: infiltrative
- Stromal reaction: none
- Intramural metastasis: not identified
- Precancerous lesion: not identified
SECOND CARCINOMA
SQUAMOUS CELL CARCINOMA, moderately differentiated (G2)
- Neoadjuvant treatment: chemoradiation therapy
- Tumor regression grade: grade 3 (poor regression)
- Gross type: ulceroinfiltrative
- Location of tumor: lower thoracic
- Size of tumor: 2.2 x 1.9 x 0.4 cm
- Depth of invasion: invades submucosa
- ypT stage (AJCC 7th): ypT1b
- Surgical margin: free from carcinoma
- Safety margin: proximal margin, 7.7 cm; distal margin, 10.8 cm; radial margin, 1.8 mm; 
- Lymphatic invasion: mural, peritumoral
- Venous invasion: not identified 
- Perineural invasion: not identified 
- Tumor border: infiltrative
- Stromal reaction: none
- Intramural metastasis: not identified
- Precancerous lesion: not identified
Note 1) Histopathologic mapping procedure was performed</t>
    <phoneticPr fontId="2" type="noConversion"/>
  </si>
  <si>
    <t>1.6 x 1.2 x 0.4 cm / 2.2 x 1.9 x 0.4 cm</t>
    <phoneticPr fontId="2" type="noConversion"/>
  </si>
  <si>
    <t>grade 2 (minimal regression) / grade 3 (poor regression)</t>
    <phoneticPr fontId="2" type="noConversion"/>
  </si>
  <si>
    <t>ypT2N2 / ypT1b</t>
    <phoneticPr fontId="2" type="noConversion"/>
  </si>
  <si>
    <t>med+abd (no elective in abd)</t>
    <phoneticPr fontId="2" type="noConversion"/>
  </si>
  <si>
    <r>
      <t>med / abd (abd</t>
    </r>
    <r>
      <rPr>
        <sz val="10"/>
        <color theme="1"/>
        <rFont val="돋움"/>
        <family val="3"/>
        <charset val="129"/>
      </rPr>
      <t>는</t>
    </r>
    <r>
      <rPr>
        <sz val="10"/>
        <color theme="1"/>
        <rFont val="Arial"/>
        <family val="2"/>
      </rPr>
      <t xml:space="preserve"> elective </t>
    </r>
    <r>
      <rPr>
        <sz val="10"/>
        <color theme="1"/>
        <rFont val="돋움"/>
        <family val="3"/>
        <charset val="129"/>
      </rPr>
      <t>없음</t>
    </r>
    <r>
      <rPr>
        <sz val="10"/>
        <color theme="1"/>
        <rFont val="Arial"/>
        <family val="2"/>
      </rPr>
      <t>)</t>
    </r>
    <phoneticPr fontId="2" type="noConversion"/>
  </si>
  <si>
    <t>eso. mass, gross LNs</t>
  </si>
  <si>
    <t>Metastatic LAPs in mediastinal 2L, 3P, 4B, 10L and 11B area / Mild hypermetabolic LN in retroperitoneal paraaortic area</t>
    <phoneticPr fontId="2" type="noConversion"/>
  </si>
  <si>
    <t>cT3N2</t>
    <phoneticPr fontId="2" type="noConversion"/>
  </si>
  <si>
    <t>35-40</t>
    <phoneticPr fontId="2" type="noConversion"/>
  </si>
  <si>
    <t>왕용택</t>
    <phoneticPr fontId="2" type="noConversion"/>
  </si>
  <si>
    <t>SNUH_070</t>
  </si>
  <si>
    <t>#. Esophageal ca (SqCC, mid-thoracic), cT3N3M0</t>
  </si>
  <si>
    <t>left lower neck and left axilla LN, right adrenal gland</t>
    <phoneticPr fontId="2" type="noConversion"/>
  </si>
  <si>
    <t>Esophagus and stomach, McKeown operation:
SQUAMOUS CELL CARCINOMA, moderately differentiated (G2)
- Neoadjuvant treatment: chemoradiation therapy
- Tumor regression grade: grade 1 (moderate regression)
- Gross type: ulceroinfiltrative
- Location of tumor: lower thoracic
- Size of tumor: 3.8 x 2.6 x 0.4 cm. 
- Depth of invasion: invades muscularis propria
- ypT stage (AJCC 7th): ypT2
- Surgical margin: free from carcinoma
- Safety margin: proximal margin, 5.5 cm; distal margin, 9.7 cm; radial margin, 1.5 mm; 
- Number of metastatic lymph nodes: 22
- Number of examined lymph nodes: 93
  (LN#2L 4L, 0/0; LN#5, 0/10; LN#7, 0/12; LN#8L, 1/1; LN#8M, 0/4; LN#9L, 0/3; LN#16, 1/3; LN#17, 0/7; LN#18, 0/1; LN#19, 0/2; LN#20, 0/3; Rt.level3, 0/12; Rt.level4, 3/10; Lt.level3, 5/7; Lt.level4, 9/11; Rt.recurrent laryngeal, 3/7; )
- ypN stage (AJCC 7th): ypN3, metastasis in 7 or more regional lymph nodes
- Lymphatic invasion: mural and extramural, peritumoral and intratumoral
- Venous invasion: extramural, peritumoral 
- Perineural invasion: not identified 
- Tumor border: infiltrative
- Stromal reaction: none
- Intramural metastasis: not identified
- Precancerous lesion: not identified
Tissue labeled "anastomosis RM": No tumor involvement
Tissue labeled "intercostal artery": No tumor involvement
Lung, right lower lobe, wedge resection: No tumor involvement
Note) Histopathologic mapping procedure was performed.</t>
    <phoneticPr fontId="2" type="noConversion"/>
  </si>
  <si>
    <t>3.8 x 2.6 x 0.4 cm</t>
    <phoneticPr fontId="2" type="noConversion"/>
  </si>
  <si>
    <t>med+abd</t>
    <phoneticPr fontId="2" type="noConversion"/>
  </si>
  <si>
    <t>med LN, abd LN</t>
    <phoneticPr fontId="2" type="noConversion"/>
  </si>
  <si>
    <t>eso. mass / gross LN (abd)</t>
    <phoneticPr fontId="2" type="noConversion"/>
  </si>
  <si>
    <t>celiac axis, peripancreatic, retrocaval, aortocaval, PAN, r/o Lt Scl &amp; mediastinal LN mets</t>
    <phoneticPr fontId="2" type="noConversion"/>
  </si>
  <si>
    <t>cT3N3</t>
    <phoneticPr fontId="2" type="noConversion"/>
  </si>
  <si>
    <t>30-33</t>
    <phoneticPr fontId="2" type="noConversion"/>
  </si>
  <si>
    <t>고길용</t>
    <phoneticPr fontId="2" type="noConversion"/>
  </si>
  <si>
    <t>SNUH_068</t>
  </si>
  <si>
    <r>
      <t xml:space="preserve"># Esophageal ca (SqCC, GE junction </t>
    </r>
    <r>
      <rPr>
        <sz val="10"/>
        <color theme="1"/>
        <rFont val="돋움"/>
        <family val="3"/>
        <charset val="129"/>
      </rPr>
      <t>직상방</t>
    </r>
    <r>
      <rPr>
        <sz val="10"/>
        <color theme="1"/>
        <rFont val="Arial"/>
        <family val="2"/>
      </rPr>
      <t>), cT3N20</t>
    </r>
  </si>
  <si>
    <t>Esophagus and stomach, McKeown operation:
No residual tumor
- Neoadjuvant treatment: chemoradiation therapy
- Tumor regression grade: grade 0 (complete regression)
- Depth of invasion: no residual tumor
- Surgical margin: free from carcinoma
- Number of metastatic lymph nodes: 0
- Number of examined lymph nodes: 53
  (peritumoral LN, 0/8; LN#2L, 0/1; LN#4L, 0/1; LN#5, 0/7; LN#7, 0/7; LN#10, 0/3; LN#16, 0/1; LN#17, 0/2; LN#18, 0/0; LN#19, 0/2; LN#Rt. Level 3, 0/5; LN#Rt. Level 4, 0/7; LN#Lt. level 3, 0/1; LN#Lt. level 4, 0/6; LN#106R, 0/2)
- Lymphatic invasion: not identified 
- Venous invasion: not identified 
- Perineural invasion: not identified 
- Tumor border: not applicable
- Stromal reaction: not applicable
- Intramural metastasis: not identified
- Precancerous lesion: not identified
Pathologic staging (AJCC 8th)
- pT category: ypT0, no evidence of primary tumor
- pN category: ypN0, no metastasis in regional lymph nodes</t>
    <phoneticPr fontId="2" type="noConversion"/>
  </si>
  <si>
    <t>,</t>
    <phoneticPr fontId="2" type="noConversion"/>
  </si>
  <si>
    <t>eso mass / gross LNs (2R, Lt. gastric LN, common hepatic LN)</t>
    <phoneticPr fontId="2" type="noConversion"/>
  </si>
  <si>
    <r>
      <t xml:space="preserve">perigastric LN, left gastric LN, common hepatic artery </t>
    </r>
    <r>
      <rPr>
        <sz val="10"/>
        <color theme="1"/>
        <rFont val="돋움"/>
        <family val="3"/>
        <charset val="129"/>
      </rPr>
      <t>부위</t>
    </r>
    <r>
      <rPr>
        <sz val="10"/>
        <color theme="1"/>
        <rFont val="Arial"/>
        <family val="2"/>
      </rPr>
      <t>, retrotracheal LN</t>
    </r>
  </si>
  <si>
    <r>
      <t xml:space="preserve">GE junction </t>
    </r>
    <r>
      <rPr>
        <sz val="10"/>
        <color theme="1"/>
        <rFont val="돋움"/>
        <family val="3"/>
        <charset val="129"/>
      </rPr>
      <t>직상방</t>
    </r>
    <phoneticPr fontId="2" type="noConversion"/>
  </si>
  <si>
    <t>김종택</t>
    <phoneticPr fontId="2" type="noConversion"/>
  </si>
  <si>
    <t>SNUH_067</t>
  </si>
  <si>
    <r>
      <t>small bowel GIST (</t>
    </r>
    <r>
      <rPr>
        <sz val="10"/>
        <color theme="1"/>
        <rFont val="돋움"/>
        <family val="3"/>
        <charset val="129"/>
      </rPr>
      <t>수술</t>
    </r>
    <r>
      <rPr>
        <sz val="10"/>
        <color theme="1"/>
        <rFont val="Arial"/>
        <family val="2"/>
      </rPr>
      <t xml:space="preserve"> </t>
    </r>
    <r>
      <rPr>
        <sz val="10"/>
        <color theme="1"/>
        <rFont val="돋움"/>
        <family val="3"/>
        <charset val="129"/>
      </rPr>
      <t>같이함</t>
    </r>
    <r>
      <rPr>
        <sz val="10"/>
        <color theme="1"/>
        <rFont val="Arial"/>
        <family val="2"/>
      </rPr>
      <t>. Low risk of progression)</t>
    </r>
    <phoneticPr fontId="2" type="noConversion"/>
  </si>
  <si>
    <t>#. Esophageal cancer (P/D carcinoma, UI 20cm), cT3N+</t>
  </si>
  <si>
    <t>reflux, dysphagia</t>
    <phoneticPr fontId="2" type="noConversion"/>
  </si>
  <si>
    <t>Esophagus and stomach, McKeown operation:
 No residual tumor 
  - Neoadjuvant treatment: yes, chemoradiation therapy status
     (S13-35226: poorly differentiated carcinoma)
  - Tumor regression grade: grade 0 (complete response)
  - Depth of invasion (AJCC 7th ed.): no residual tumor (ypT0)
  - Surgical margin: free from tumor
  - Lymph node: 
     no metastasis in 56 lymph nodes (ypN0)
      (lesser curvature LN, 0/1; LN#2R, 0/0; LN#2L, 0/5; 
       LN#4R, 0/5; LN#4L, 0/2; LN#5, 0/4; LN#7, 0/14; 
       LN#8L, 0/3; LN#8M, 0/3; LN#10, 0/1; LN#16, 0/0; 
       LN#17, 0/11; LN#18, 0/4; LN#19, 0/0; LN#20, 0/1;
       right recurrent laryngeal LN, 0/1; 
       level IV LN (see note), 0/0; level V LN, 0/1)
  - Lymphatic invasion: not identified
  - Venous invasion: not identified
  - Perineural invasion: not identified
Small bowel, wedge resection:
 Gastrointestinal stromal tumor, 
  low risk of tumor progression by NCCN proposal (2010)
  - Size of tumor: 3.0 x 2.6 x 2.5cm 
  - Mitosis count: 2/50HPF
  - Extent of tumor: proper muslce to subserosa 
  - Increased cellularity: moderate
  - Necrosis: absent
  - Nuclear pleomorphism: mild
  - Vascular invasion: not identified
  - Tumor cell type: spindle
  - Surgical margin: free from tumor
     (safety margin: lateral, 1.0cm; radial, 0.2mm)
  - Risk category of consensus approach (Fletcher et al., 2002) 
     (Adopted by Korean Health Insurance): low risk 
(Note) Thyroid and parathyroid tissue is included in level IV.</t>
    <phoneticPr fontId="2" type="noConversion"/>
  </si>
  <si>
    <t>mediastinal LN, bilateral SCL</t>
    <phoneticPr fontId="2" type="noConversion"/>
  </si>
  <si>
    <t>including Scl &amp; med. LN area</t>
  </si>
  <si>
    <t>esophageal mass / 2L, 4L</t>
    <phoneticPr fontId="2" type="noConversion"/>
  </si>
  <si>
    <t>2L, 4L</t>
    <phoneticPr fontId="2" type="noConversion"/>
  </si>
  <si>
    <t>cT3N+</t>
    <phoneticPr fontId="2" type="noConversion"/>
  </si>
  <si>
    <t>이경훈</t>
    <phoneticPr fontId="2" type="noConversion"/>
  </si>
  <si>
    <t>SNUH_066</t>
  </si>
  <si>
    <t xml:space="preserve">#. Esophagus (SqCC),UI 21-25cm, cT3N0 </t>
  </si>
  <si>
    <t>lung, pleura</t>
    <phoneticPr fontId="2" type="noConversion"/>
  </si>
  <si>
    <t>MK3475-590 C10 --&gt; docetaxel #2</t>
    <phoneticPr fontId="2" type="noConversion"/>
  </si>
  <si>
    <t>in-field</t>
  </si>
  <si>
    <t>mediastinal and cardiophrenic LNE / subpleural nodules in BLL and right pleural thickening</t>
    <phoneticPr fontId="2" type="noConversion"/>
  </si>
  <si>
    <t>Esophagus and stomach, Mckeown operation: 
 SQUAMOUS CELL CARCINOMA, 
  moderately differentiated, residual, multifocal 
  - Neoadjuvant treatment: yes (chemoradiation therapy status)
     (S14-516: Invasive squamous cell carcinoma, 
               moderately differentiated)
  - Tumor regression grade: grade 1 (moderate response)
  - Location of tumor: upper thoracic
  - Extent of tumor: 2.4 x 2.2 x 0.3cm
  - Depth of invasion (AJCC 7th ed.):
     invades muscularis propria (ypT2)
  - Surgical margin: free from carcinoma
     (safety margin: proximal, 0.6cm; distal, 12.3cm; radial, 3mm)
  - Lymph node: no metastasis in 26 lymph nodes (ypN0)
     (LN#3P, 0/0; LN#7, 0/7; LN#8M, 0/1; LN#8L, 0/2; LN#9, 0/1; 
      LN#10, 0/2; LN#16, 0/1; LN#17, 0/8; 
      "Rt. recurrent laryngeal", 0/4) 
  - Lymphatic invasion: not identified
  - Venous invasion: not identified
  - Perineural invasion: not identified
  - Tumor border: infiltrative
  - Stromal reaction: none
  - Intramural metastasis: absent
  - Precancerous lesion: not identified</t>
    <phoneticPr fontId="2" type="noConversion"/>
  </si>
  <si>
    <t>2.4 x 2.2 x 0.3cm</t>
  </si>
  <si>
    <t xml:space="preserve">med. LN </t>
  </si>
  <si>
    <t>21-25</t>
    <phoneticPr fontId="2" type="noConversion"/>
  </si>
  <si>
    <t>SNUH_063</t>
  </si>
  <si>
    <t>#. Esophageal cancer (SCCa, UI 30-38cm), cT3N1M1a CCRT with wCisplatin</t>
  </si>
  <si>
    <t>PAN -&gt; retrocrural LNs, adrenal gland --&gt; Rt SCL, hilar -&gt; bone</t>
    <phoneticPr fontId="2" type="noConversion"/>
  </si>
  <si>
    <t>RT to PAN -&gt; FSRT -&gt; DP #4 -&gt; FP #1</t>
    <phoneticPr fontId="2" type="noConversion"/>
  </si>
  <si>
    <t>PAN</t>
    <phoneticPr fontId="0" type="noConversion"/>
  </si>
  <si>
    <t>death on arrival</t>
    <phoneticPr fontId="2" type="noConversion"/>
  </si>
  <si>
    <t>Esophagus, Ivor-Lewis operation:
 SQUAMOUS CELL CARCINOMA, well differentiated
- Post-chemoradiation status
   (C09-3927: invasive squamous cell carcinoma)
- Location of tumor: middle thoracic
   (7.2㎝ from GE junction)
- Size: less than 0.1cm (a cluster of small number of tumor cells)
- Depth of invasion: Tumor invades submucosa(pT1b)
- Resection margin: free from carcinoma
   safety margin : proximal, 4.5㎝; distal, 8.5㎝; radial, 5㎜
- Lymph node metastasis:
   metastasis in two out of 79 regional lymph nodes (pN1)
    (LN#1R, 0/0; LN#3, 0/1; LN#7(including Fro#1), 0/4;
     LN#2R, 0/5; LN#8, 0/1; LN#2L, 0/4; LN#9, 0/0; LN#4R, 0/6;
     Lt. neck level III LN, 0/9; Rt. neck level III LN, 0/5;
     Lt. neck level IV LN, 0/8; Rt. neck level IV LN, 0/9;
     Lt. neck level V LN, 0/3; Rt. neck level V LN, 0/4;
     Lt. neck level VI LN(see note), 0/3;
     Rt. neck level VI LN, 0/4; celiac LN(including Fro#2), 0/0;
     common hepatic LN, 0/0; peritumoral LN, 2/13)
- Lymphatic invasion: not identified
- Venous invasion: not identified
- Perineural invasion: not identified
- Tumor border: infiltrative
- Stromal reaction: none
- Intramural metastasis: absent
- Precancerous lesion: not identified
- Associated findings: none
Tissue labeled "proximal margin", excision:
 No tumor involvement
(Note) Parathyroid tissue is included.</t>
  </si>
  <si>
    <t>&lt; 0.1cm (cluster of few tumor cells)</t>
  </si>
  <si>
    <t>ypT1bN1M0</t>
  </si>
  <si>
    <t>esophagus + regional LNs</t>
  </si>
  <si>
    <t>eso mass, gross LN (paraeso, paraceliac, upper paratracheal)</t>
  </si>
  <si>
    <t>cT3N1</t>
    <phoneticPr fontId="2" type="noConversion"/>
  </si>
  <si>
    <t>30-38</t>
    <phoneticPr fontId="0" type="noConversion"/>
  </si>
  <si>
    <t>임병대</t>
  </si>
  <si>
    <t>SNUH_062</t>
  </si>
  <si>
    <r>
      <t>2019</t>
    </r>
    <r>
      <rPr>
        <sz val="10"/>
        <rFont val="돋움"/>
        <family val="3"/>
        <charset val="129"/>
      </rPr>
      <t>년에</t>
    </r>
    <r>
      <rPr>
        <sz val="10"/>
        <rFont val="Arial"/>
        <family val="2"/>
      </rPr>
      <t xml:space="preserve"> tongue base cancer </t>
    </r>
    <r>
      <rPr>
        <sz val="10"/>
        <rFont val="돋움"/>
        <family val="3"/>
        <charset val="129"/>
      </rPr>
      <t>발생하여</t>
    </r>
    <r>
      <rPr>
        <sz val="10"/>
        <rFont val="Arial"/>
        <family val="2"/>
      </rPr>
      <t xml:space="preserve"> </t>
    </r>
    <r>
      <rPr>
        <sz val="10"/>
        <rFont val="돋움"/>
        <family val="3"/>
        <charset val="129"/>
      </rPr>
      <t>치료받음</t>
    </r>
    <phoneticPr fontId="2" type="noConversion"/>
  </si>
  <si>
    <t>Esophagus, McKeown operation;
SQUAMOUS CELL CARCINOMA, moderately differentiated (G2)
- Neoadjuvant treatment: chemoradiation therapy. 
- Tumor regression grade: grade 1 (moderate regression)
- Gross type: superficial
- Location of tumor: middle thoracic
- Size of tumor: 0.1x0.1 cm. 
- Depth of invasion: invades muscularis propria
- ypT stage (AJCC 7th): ypT2
- Surgical margin: free from carcinoma
- Number of metastatic lymph nodes: 0
- Number of examined lymph nodes: 56
  (peritumoral LN, 0/1; LN#3P, 0/2; LN#4R, 0/1; LN#7, 0/2; LN#8M, 0/5; LN#8L, 0/4; LN#10, 0/1; LN#16, 0/5; LN#17, 0/22; LN#18, 0/4; LN#19, 0/4; LN#20, 0/6; )
- ypN stage (AJCC 7th): ypN0, no metastasis in regional lymph nodes
- Lymphatic invasion: not identified 
- Venous invasion: not identified 
- Perineural invasion: not identified 
- Tumor border: infiltrative
- Stromal reaction: none
- Intramural metastasis: not identified
- Precancerous lesion: not identified</t>
  </si>
  <si>
    <t>0.1x0.1 cm</t>
  </si>
  <si>
    <t>B)SCL+med</t>
    <phoneticPr fontId="0" type="noConversion"/>
  </si>
  <si>
    <t>eso mass, gross LN (4L)</t>
  </si>
  <si>
    <t>2R, 4R, 7</t>
  </si>
  <si>
    <t>upper/middle</t>
  </si>
  <si>
    <t>21-28</t>
    <phoneticPr fontId="0" type="noConversion"/>
  </si>
  <si>
    <t>전원택</t>
  </si>
  <si>
    <t>SNUH_061</t>
  </si>
  <si>
    <t>tumor recurrence encasing trachea, both lung</t>
    <phoneticPr fontId="2" type="noConversion"/>
  </si>
  <si>
    <t>neck wound d/t postop empyema, s/p I&amp;D (2015/1/2)</t>
  </si>
  <si>
    <t>Esophagus, esophagectomy:
 SQUAMOUS CELL CARCINOMA, moderately differentiated, residual
  - Neoadjuvant treatment: yes, chemoradiation therapy status
     (S14-39529: Squamous cell carcinoma)
  - Tumor regression grade: grade 3 (poor response)
  - Gross type: ulceroinfiltrative
  - Location of tumor: lower thoracic (7.5cm from GE junction)
  - Size of tumor: 5.1 x 2.5 x 1.0cm
  - Depth of invasion (AJCC 7th ed.):
     invades adventitia (ypT3)
  - Surgical margin: involved by carcinoma
     (safety margin: proximal, 1.0cm; distal, 8.5cm; radial, 0mm)
  - Lymph node: metastasis in two out of 33 lymph nodes (ypN1)
     (LN#4L, 0/4; LN#5, 1/2; LN#7, 0/4; "Rt. recurrent LN", 0/4;
      "Rt. level 3", 0/7, "Rt. level 4", 0/3; "Rt. level 5", 0/5;
      peritumoral LN, 1/4)
  - Lymphatic invasion: present, extramural, peritumoral
  - Venous invasion: present, extramural, peritumoral
  - Perineural invasion: present, mural, intratumoral
  - Tumor border: infiltrative
  - Stromal reaction: none
  - Intramural metastasis: absent
  - Precancerous lesion: not identified
Tissue labeled "proximal RM", excision:
 No tumor involvement
Tissue labeled "esophagus wall" and "Lt. main bronchial margin", excision:
 Involvement of CARCINOMA
Appendix, appendectomy:
 No diagnostic abnormalities recognized
Small bowel, segmental resection:
 1. No tumor involvement
 2. No diagnostic abnormalities recognized</t>
  </si>
  <si>
    <t>5.1 x 2.5 x 1.0cm</t>
  </si>
  <si>
    <t>ypT3N2 (TRG 3) Lt main bronchial margin+</t>
  </si>
  <si>
    <t xml:space="preserve">Hybrid robot-assisted transthoracic esophagectomy </t>
  </si>
  <si>
    <t>eso mass, gross LN (Lt scl)</t>
  </si>
  <si>
    <t>Rt SCL</t>
    <phoneticPr fontId="0" type="noConversion"/>
  </si>
  <si>
    <t>26-32</t>
    <phoneticPr fontId="0" type="noConversion"/>
  </si>
  <si>
    <t>최병용</t>
  </si>
  <si>
    <t>SNUH_060</t>
  </si>
  <si>
    <t>#. Esophageal ca (SqCC, UI 35cm), cT2N+M0 s/p Neoadj CCRT with FP #2, 45 Gy/25 Fx (2014/2/14- 3/20)</t>
  </si>
  <si>
    <t>Esophagus, esophageal surgery:
 No residual tumor (ypT0)
  - Neoadjuvant treatment: yes, chemoradiation therapy status
     (S14-70: invasive squamous cell carcinoma, moderately differentiated)
  - Tumor regression grade: grade 0 (complete response)
  - Surgical margin: free from carcinoma
  - Lymph node: no metastasis in 31 lymph nodes (ypN0)
     (LN#2L, 0/1; LN#3P, 0/1; LN#4L, 0/3; LN#7, 0/5;
      LN#8L, 0/5; LN#8M, 0/5; LN#16, 0/3; LN#17, 0/3;
      LN#18, 0/1; LN#19, 0/2; LN#20, 0/1; 
      Rt. recurrent laryngeal LN, 0/1)</t>
  </si>
  <si>
    <t xml:space="preserve">Hybrid robot-assisted Mckweon operation </t>
  </si>
  <si>
    <t>med+abd (4cm/1cm; 0.5cm; 1cm)</t>
    <phoneticPr fontId="0" type="noConversion"/>
  </si>
  <si>
    <t>0.7-1.0</t>
  </si>
  <si>
    <t>eso mass, gross LN (med LN)</t>
  </si>
  <si>
    <t>김명석</t>
  </si>
  <si>
    <t>SNUH_059</t>
  </si>
  <si>
    <t>#. Esophageal cancer (SqCC, UI 21-24cm), cT2N1 CCRT with wTC (neoadjuvant)</t>
  </si>
  <si>
    <t>Esophagus and stomach, Mckewon operation:
 No residual tumor ("main mass" and "esophagus")
  - Neoadjuvant treatment: yes, chemoradiation therapy status
    (C13-6858: Squamous cell carcinoma, moderately differentiated)
  - Tumor regression grade: grade 0 (complete response)
  - Depth of invasion (AJCC 7th ed.):
     no residual tumor (ypT0)
  - Surgical margin: free from carcinoma
  - Lymph node: no metastasis in 57 lymph nodes (ypN0)
     (LN#2R, 0/3; LN#2L, 0/3; LN#4R, 0/10; LN#4L, 0/1;
      LN#5, 0/7; LN#7, 0/8; LN#8L, 0/12; LN#8M, 0/0;
      LN#10, 0/1; LN#16, 0/2; LN#17, 0/7; LN#18, 0/2;
      Rt. recurrent laryngeal, 0/1)
  - Lymphatic invasion: not identified
  - Venous invasion: not identified
  - Perineural invasion: not identified</t>
  </si>
  <si>
    <t>B)SCL+med (2cm-4cm/2cm; 1.3cm; 0.7cm)</t>
    <phoneticPr fontId="0" type="noConversion"/>
  </si>
  <si>
    <t>eso mass, gross LN (2L)</t>
  </si>
  <si>
    <t>21-24</t>
    <phoneticPr fontId="0" type="noConversion"/>
  </si>
  <si>
    <t>이용준</t>
    <phoneticPr fontId="2" type="noConversion"/>
  </si>
  <si>
    <t>SNUH_058</t>
  </si>
  <si>
    <t>Esophageal cancer (SqCC), UI 32cm, cT2N1M0 s/p preop CCRT w/ FP (13/12/26-14/2/3)</t>
  </si>
  <si>
    <t>Esophagus and stomach, McKeown operation:
 SQUAMOUS CELL CARCINOMA, moderately differentiated
  - Neoadjuvant treatment: yes, chemoradiation therapy status
     (C13-6733: squamous cell carcinoma, moderately differentiated)
  - Tumor regression grade: grade 3 (poor response)
  - Gross type: ulceroinfiltrative
  - Location of tumor: lower thoracic (6.0cm from GE junction)
  - Size of tumor: 3.0 x 1.8 x 0.6cm
  - Depth of invasion (AJCC 7th ed.):
     invades adventitia (ypT3)
  - Surgical margin: free from carcinoma
     (safety margin: proximal, 2.7cm; distal, 12.3cm; 
       radial, 0.1mm)
  - Lymph node: 
     metastasis in three out of 39 lymph nodes (ypN2)
      (LN#7, 0/8; LN#8M, 0/3; LN#8L, 0/1; LN#10R, 0/1;
       LN#10L, 0/1; LN#16, 0/1; LN#17, 0/15; 
       "Rt. recurrent laryngeal", 3/9)
  - Lymphatic invasion: present, mural, intratumoral, peritumoral
  - Venous invasion: not identified
  - Perineural invasion: present, mural, intratumoral, peritumoral
  - Tumor border: infiltrative
  - Stromal reaction: none
  - Intramural metastasis: absent
  - Precancerous lesion: not identified</t>
  </si>
  <si>
    <t>3.0 x 1.8 x 0.6cm</t>
  </si>
  <si>
    <t>ypT3N2 (TRG 3)</t>
  </si>
  <si>
    <t>eso mass, gross (2R-4R)</t>
  </si>
  <si>
    <t>4R</t>
    <phoneticPr fontId="0" type="noConversion"/>
  </si>
  <si>
    <t>김준호</t>
  </si>
  <si>
    <t>SNUH_057</t>
  </si>
  <si>
    <t>특기사항 #. Esophageal cancer (SqCC, UI 23cm), cT3N2 s/p CCRT with FP (for neoadjuvant)</t>
  </si>
  <si>
    <t>lung, liver, kidney, abdomen LN, bone</t>
    <phoneticPr fontId="2" type="noConversion"/>
  </si>
  <si>
    <t>LLL WR (2015/11/24)</t>
  </si>
  <si>
    <t>lung, meta SqCC</t>
  </si>
  <si>
    <t>new lung nodules</t>
  </si>
  <si>
    <t>Esophagus, McKeown operation:
 SQUAMOUS CELL CARCINOMA, moderately differentiated
  - Neoadjuvant treatment: yes, chemoradiation therapy status
    (C13-6674: SQUAMOUS CELL CARCINOMA, poorly differentiated)
  - Tumor regression grade: grade 3 (poor response)
  - Gross type: ulceroinfiltrative
  - Location of tumor: lower thoracic (8.2cm from GE junction)
  - Size of tumor: 4.6 x 1.6 x 0.6cm
  - Depth of invasion (AJCC 7th ed.):
     invades adventitia (ypT3)
  - Surgical margin: free from carcinoma 
     (safety margin: proximal, 0.7cm; distal, 10.1cm; radial, 1.0mm)
  - Lymph node: metastasis in six out of 63 lymph nodes (ypN2)
     (LN#8(Fro#4), 0/1; Tb LN(Fro#3), 0/0; LN#2R, 0/2; LN#2L, 0/3; LN#4R, 0/10; 
      LN#4L, 1/2; LN#5, 1/7; LN#7, 0/10; LN#8L, 0/2; 
      LN#8M, 0/3; LN#9, 0/1; LN#16, 0/0; LN#17, 0/4; 
      "Rt.recurrent laryngeal, 3/4; perigastric fat, 1/14)
  - Lymphatic invasion: present, mural, intratumoral
  - Venous invasion: not identified 
  - Perineural invasion: not identified 
  - Tumor border: infiltrative
  - Stromal reaction: none 
  - Intramural metastasis: absent 
  - Precancerous lesion: not identified
Tissue labelled "LN contents", excision:
 Totally necrotic tissue with no tumor</t>
  </si>
  <si>
    <t>4.6 x 1.6 x 0.6cm</t>
  </si>
  <si>
    <t>med+abd (4cm/0.5cm; ; 1cm)</t>
    <phoneticPr fontId="0" type="noConversion"/>
  </si>
  <si>
    <t>abd LN</t>
  </si>
  <si>
    <t>eso mass, gross LN (2R, hepatoduoden, perihepatic, perigastric)</t>
  </si>
  <si>
    <t>2R, hepatoduodenal, perihepatic, perigastric</t>
    <phoneticPr fontId="0" type="noConversion"/>
  </si>
  <si>
    <t>송석필</t>
  </si>
  <si>
    <t>SNUH_056</t>
  </si>
  <si>
    <t>GIST</t>
    <phoneticPr fontId="0" type="noConversion"/>
  </si>
  <si>
    <t>#. Esophageal cancer (SqCC, UI 40cm), cT3N+ s/p feeding jeju0stomy (12/3) neo adjuvant CCRT with FP (for neoadjuvant)</t>
  </si>
  <si>
    <t>chyloperitoneum, T-E fisula</t>
    <phoneticPr fontId="0" type="noConversion"/>
  </si>
  <si>
    <t>Esophagus and stomach, Ivor-Lewis operation:
 No residual tumor 
  - Neoadjuvant treatment: yes (chemoradiation therapy) status
     (S13-61647: SQUAMOUS CELL CARCINOMA, well differentiated)
  - Tumor regression grade: grade 0 (complete response)
  - Depth of invasion (AJCC 7th ed.):
     no residual tumor (rpT0)
  - Surgical margin: free from carcinoma
  - Lymph node: no metastasis in 82 lymph nodes (rpN0)
     (LN#2R, 0/3; LN#2L, 0/1; LN#3p, 0/0; LN#4R, 0/7; LN#5, 0/4; 
      LN#6, 0/8; LN#7 (including Fro#1), 0/14; LN#8L, 0/3; LN#8M, 0/1;
      LN#10L, 0/1; LN#17, 0/22; LN#18, 0/11; LN#19, 0/7; pretracheal, 0/0)
  - Lymphatic invasion: not identified
  - Venous invasion: not identified
  - Perineural invasion: not identified
  - Precancerous lesion: not identified
  - Associated findings: ulceration
Stomach, wedge resection:
 Gastrointestinal stromal tumor, very low risk of tumor progression
  by NCCN proposal (2010)
  - Size of tumor: 1.5 x 1.2 x 0.8cm 
  - Mitosis count: 1/50HPF
  - Extent of tumor: subserosa to submucosa
  - Increased cellularity: moderate
  - Necrosis: absent
  - Nuclear pleomorphism: mild
  - Vascular invasion: not identified
  - Tumor cell type: spindle
  - Surgical margin: free from tumor
     (safety margin: radial, &lt; 1mm; lateral, 0.5cm)
  - Lymph node: no metastasis in 0 out of 0 lymph nodes
  - Associated finding: calcification
  - Risk category of consensus approach (Fletcher et al., 2002) 
     (Adopted by Korean Health Insurance): very low</t>
  </si>
  <si>
    <t>med+abd (4.5cm-2cm/0.5cm; ;1cm)</t>
    <phoneticPr fontId="0" type="noConversion"/>
  </si>
  <si>
    <t>4.5-2</t>
  </si>
  <si>
    <t>subcarinal, abd LN</t>
  </si>
  <si>
    <t>서정호</t>
  </si>
  <si>
    <t>SNUH_055</t>
  </si>
  <si>
    <r>
      <t>Anastomosis site bleeding</t>
    </r>
    <r>
      <rPr>
        <sz val="10"/>
        <rFont val="돋움"/>
        <family val="3"/>
        <charset val="129"/>
      </rPr>
      <t>으로</t>
    </r>
    <r>
      <rPr>
        <sz val="10"/>
        <rFont val="Arial"/>
        <family val="2"/>
      </rPr>
      <t xml:space="preserve"> </t>
    </r>
    <r>
      <rPr>
        <sz val="10"/>
        <rFont val="돋움"/>
        <family val="3"/>
        <charset val="129"/>
      </rPr>
      <t>반복적인</t>
    </r>
    <r>
      <rPr>
        <sz val="10"/>
        <rFont val="Arial"/>
        <family val="2"/>
      </rPr>
      <t xml:space="preserve"> </t>
    </r>
    <r>
      <rPr>
        <sz val="10"/>
        <rFont val="돋움"/>
        <family val="3"/>
        <charset val="129"/>
      </rPr>
      <t>지혈술</t>
    </r>
    <phoneticPr fontId="2" type="noConversion"/>
  </si>
  <si>
    <t>neck LN, SCL -&gt; liver, pancreatic tail</t>
    <phoneticPr fontId="2" type="noConversion"/>
  </si>
  <si>
    <t>liver, pancreatic tail</t>
  </si>
  <si>
    <t>Rt partial parotidectomy+Rt SND (18.7.23)</t>
  </si>
  <si>
    <t>neck LNs -&gt; liver, pancreatic tail</t>
    <phoneticPr fontId="2" type="noConversion"/>
  </si>
  <si>
    <t>Esophagus, Ivor Lewis operation:
 SQUAMOUS CELL CARCINOMA, moderately differentiated, residual
  - Neoadjuvant treatment: yes, chemoradiation therapy status
     (C13-5638: Squamous cell carcinoma, moderately differentiated)
  - Tumor regression grade: grade 2 (minimal response)
  - Gross type: ulcerative and localized
  - Location of tumor: lower thoracic, gastroesohpageal junction
      (0cm from GE junction)
  - Size of tumor: 2.1 x 1.9 x 1.0cm
  - Depth of invasion (AJCC 7th ed.):
     invades adventitia (ypT3)
  - Surgical margin: free from carcinoma
     (safety margin: proximal, 5.8cm; distal, 2.3cm; radial, 4mm)
  - Lymph node: no metastasis in 107 lymph nodes (ypN0)
     (ENT LN#2, 0/12; ENT LN#3, 0/13; ENT LN#4, 0/6; 
      ENT LN#5A, 0/7; ENT LN#5B, 0/4; LN#2R, 0/4;
      LN#4R, 0/10; LN#4L, 0/0; LN#5, 0/10, LN#7, 0/14; 
      LN#8L, 0/7 LN#8M, 0/3; LN#16, 0/3; LN#17, 0/9;
      LN#18, 0/3; LN#19, 0/2; recurrent laryngeal LN, 0/0)
  - Lymphatic invasion: not identified
  - Venous invasion: not identified
  - Perineural invasion: not identified
  - Tumor border: infiltrative
  - Stromal reaction: none
  - Intramural metastasis: absent
  - Precancerous lesion: not identified
Lung, "RLL nodule", wedge resection: 
 1. No tumor involvement
 2. Inflammatory exudates in dilated bronchiole with
     peribronchial inflammation
Tissue labeled "accessory spleen", excision:
 Accessory spleen</t>
  </si>
  <si>
    <t>lower thoracic and GE junction</t>
  </si>
  <si>
    <t>2.1 x 1.9 x 1.0cm</t>
  </si>
  <si>
    <t>genexol, carboplatin</t>
  </si>
  <si>
    <t>celiac axis</t>
  </si>
  <si>
    <t>36-40</t>
    <phoneticPr fontId="0" type="noConversion"/>
  </si>
  <si>
    <t>오세흥</t>
  </si>
  <si>
    <t>SNUH_054</t>
  </si>
  <si>
    <t>CCRT c FP q 4wk</t>
  </si>
  <si>
    <t>Bilateral metastasectomy of lung</t>
    <phoneticPr fontId="2" type="noConversion"/>
  </si>
  <si>
    <t>BUL, RLL</t>
    <phoneticPr fontId="0" type="noConversion"/>
  </si>
  <si>
    <t>Esophagus and stomach, McKeown operation:
 SQUAMOUS CELL CARCINOMA, moderately differentiated, residual 
  - Neoadjuvant treatment: yes (chemoradiation therapy) status
     (C13-4079: Squamous cell carcinoma, moderately differentiated) 
  - Tumor regression grade: grade 1 (moderate response)
  - Gross type: diffuse infiltrative
  - Location of tumor: middle thoracic
  - Size extent of tumor: 3,2 x 1.2 x 0.4cm (multifocal, scattered)
  - Depth of invasion (AJCC 7th ed.): invades adventitia (ypT3)
  - Surgical margin: free from carcinoma
     (safety margin: proximal, 1.0cm; distal, 11.2cm; radial, 1.5mm)
  - Lymph node: metastasis in one out of 72 lymph nodes (ypN1)
     (Rt. recurrent laryngeal, 0/6; LN #2L, 0/6; LN #2R, 0/1; 
      LN #4R, 0/3; LN #5, 0/4; LN #7, 1/3; LN #8L, 0/1;  
      LN #8M, 0/1; LN #10L, 0/1; LN #16, 0/6; LN #18, 0/5; 
      LN #17, 0/7; LN #19, 0/6; LN #20, 0/1 LN #10L (Fro#1), 0/1;
      Rt. level #4, 0/7; Rt. level #5, 0/0; Rt. level #3, 0/5; 
      Lt. level #3, 0/5; Lt. level #4, 0/0; Lt. level #5, 0/1; 
      Lt. level #6, 0/2)
  - Lymphatic invasion: not identified
  - Venous invasion: not identified
  - Perineural invasion: not identified
  - Tumor border: infiltrative
  - Stromal reaction: none
  - Intramural metastasis: absent
  - Precancerous lesion: not identified</t>
  </si>
  <si>
    <t>3,2 x 1.2 x 0.4cm (multifocal, scattered)</t>
  </si>
  <si>
    <t>ypT3N1 (TRG 1)</t>
  </si>
  <si>
    <t>eso mass, gross LN (Rt scl, Rt paratracheal, subcarinal)</t>
  </si>
  <si>
    <t>Rt SCL, 2R, 7</t>
    <phoneticPr fontId="0" type="noConversion"/>
  </si>
  <si>
    <t>김태근</t>
  </si>
  <si>
    <t>SNUH_052</t>
  </si>
  <si>
    <t># Esophageal ca(SqCC, UI 37-40cm), cT3N+, 국립중앙의료원 CCRT with wFP (for neoadjuvant) # Giant cell tumor(Rt. 5th finger) s/p Incisional Bx, 1998/6/10</t>
  </si>
  <si>
    <t>s/p FB #6 (2015/1/9 - 2015/6/30) → #2 SD → PD PFS 3mo → s/p wDocetaxel #1 (2015/10/14 - )</t>
  </si>
  <si>
    <t>RLL -&gt; peritoneal seeding, liver -&gt; both lung</t>
    <phoneticPr fontId="0" type="noConversion"/>
  </si>
  <si>
    <t>AWD</t>
  </si>
  <si>
    <t>Esophagus, Ivor-Lewis operation:
 No residual tumor (ypT0)
  - Neoadjuvant treatment: yes, chemoradiation therapy status
     (C13-3326: squamous cell carcinoma, moderately differentiated)
  - Tumor regression grade: grade 0 (complete response)
  - Surgical margin: free from carcinoma
  - Lymph node: no metastasis in 38 lymph nodes (ypN0)
     (LN#4L, 0/2; LN#5, 0/5; LN#7, 0/9; LN#8L, 0/4;
      LN#8M, 0/0; LN#15, 0/2; LN#16, 0/1; LN#17, 0/2;
      LN#18, 0/2; LN#19, 0/0; "IVC", 0/1; 
      "Rt. recurrent laryngeal", 0/6; "celiac", 0/4)
  - Associated findings: ulceration</t>
  </si>
  <si>
    <t>lower eso. mass, abd. LN (4cm;2cm;1cm)</t>
    <phoneticPr fontId="0" type="noConversion"/>
  </si>
  <si>
    <t>eso mass, gross LN (abd)</t>
  </si>
  <si>
    <t>37-40</t>
    <phoneticPr fontId="0" type="noConversion"/>
  </si>
  <si>
    <t>강순권</t>
  </si>
  <si>
    <t>SNUH_051</t>
  </si>
  <si>
    <t># Esophageal cancer (SqCC), cT3N+(1R, 4R, subcarinal. EG jx) CCRT with wTC (for neoadjuvant)</t>
  </si>
  <si>
    <t>liver, retroperitoneal LN, pancreas, peritoneal seeding -&gt; pleural seeding</t>
    <phoneticPr fontId="0" type="noConversion"/>
  </si>
  <si>
    <t>liver, retroperitoneum, pancreas, peritoneal seeding -&gt; pleural seeding</t>
    <phoneticPr fontId="0" type="noConversion"/>
  </si>
  <si>
    <t>Esophagus, Ivor-Lewis operation:
 1. SQUAMOUS CELL CARCINOMA, moderately differentiated, residual 
  - Neoadjuvant treatment: yes (chemoradiation therapy) status
     (C13-3359: Squamous cell carcinoma, moderately differentiated)
  - Tumor regression grade: grade 1 (moderate response)
  - Gross type: ulceroinfiltrative
  - Location of tumor: lower thoracic (3.7cm from GE junction)
  - Size of tumor: 0.4 x 0.3 x 0.3cm
  - Depth of invasion (AJCC 7th ed.):
     invades muscularis propria (ypT2)
  - Surgical margin: free from carcinoma
     (safety margin: proximal, 7.7cm; distal, 7.4cm; radial, 2mm)
  - Lymph node: no metastasis in 49 lymph nodes (ypN0)
     (LN#2L, 0/1; LN#4L, 0/3; LN#5, 0/11; LN#7, 0/8; LN#8M, 0/0; 
      LN#9R, 0/1; LN#9L, 0/1; LN#15, 0/4; LN#16, 0/3; LN#17, 0/7; 
      LN#18, 0/3; #19, 0/2; LN#20 (see note), 0/3; 
      Rt. recurrent laryngeal LN (including Fro#1), 0/2)
  - Lymphatic invasion: not identified
  - Venous invasion: not identified
  - Perineural invasion: not identified
  - Tumor border: infiltrative
  - Stromal reaction: none
  - Intramural metastasis: absent
  - Precancerous lesion: not identified
 2. Totally necrotic lesions in mucosa, LN#7 and LN#17 
     suggestive of necrotic tumor 
(Note) Salivary gland tissue is observed in LN#20.</t>
  </si>
  <si>
    <t>med+abd (4.5cm/0.5-1cm; 1cm; 1cm)</t>
    <phoneticPr fontId="0" type="noConversion"/>
  </si>
  <si>
    <t>eso mass, gross LN (1R, 4R, 7, gastric)</t>
  </si>
  <si>
    <t>1R, 4R, 7, Lt gastric</t>
    <phoneticPr fontId="0" type="noConversion"/>
  </si>
  <si>
    <t>cT3N+</t>
    <phoneticPr fontId="0" type="noConversion"/>
  </si>
  <si>
    <t>양동열</t>
  </si>
  <si>
    <t>SNUH_050</t>
  </si>
  <si>
    <t># Esophageal cancer (SqCC), T3N1M0, stage IIIA CCRT with FP (for neoadjuvant)</t>
  </si>
  <si>
    <t>Esophagus, Ivor Lewis operation:
 SQUAMOUS CELL CARCINOMA, moderately differentiated
  - Neoadjuvant treatment: yes (chemoradiation therapy) status
     (S13-29700: squamous cell carcinoma, moderately differentiated)
  - Tumor regression grade: grade 0 (complete response)
  - Depth of invasion (AJCC 7th ed.):
     No residual tumor (ypT0)
  - Surgical margin: free from carcinoma
  - Lymph node: metastasis in two out of 44 lymph nodes (ypN1)
     (Rt. recurrent laryngeal LN: 0/2, LN#2L, 0/7; LN#4L, 0/5;
      LN#7, 0/6; LN#8L, 0/5; LN#10L, 0/5; LN#16, 1/1; LN#17, 1/8;
      LN#18, 0/5)
  - Lymphatic invasion: not identified
  - Venous invasion: not identified
  - Perineural invasion: not identified
  - Precancerous lesion: not identified</t>
  </si>
  <si>
    <t>grade 0, CR (eso mass)</t>
  </si>
  <si>
    <t>mediastinum (4cm/1cm; 0; 1cm) 중간 eso포함 안함</t>
    <phoneticPr fontId="0" type="noConversion"/>
  </si>
  <si>
    <t>eso mass, gross LN (4R, GE junc)</t>
  </si>
  <si>
    <t>4R, 8, celiac axis LN</t>
    <phoneticPr fontId="0" type="noConversion"/>
  </si>
  <si>
    <t>정병남</t>
  </si>
  <si>
    <t>SNUH_049</t>
  </si>
  <si>
    <t># Esophageal ca. (SqCC, UI 30-40cm), cT3N1 CCRT with TC</t>
  </si>
  <si>
    <t>lung, liver</t>
    <phoneticPr fontId="2" type="noConversion"/>
  </si>
  <si>
    <t>lung, tracheal anastomosis site --&gt; liver, paratracheal</t>
  </si>
  <si>
    <t>CCRT --&gt; salvage esophagectomy --&gt; pall chemo</t>
    <phoneticPr fontId="2" type="noConversion"/>
  </si>
  <si>
    <t>upper esophagus --&gt; 2R --&gt; lung, tracheal anastomosis site --&gt; liver, paratracheal</t>
    <phoneticPr fontId="0" type="noConversion"/>
  </si>
  <si>
    <t>Esophagus, Mckeown operation:
 SQUAMOUS CELL CARCINOMA, moderately differentiated, 
  multifocal, residual
  - Neoadjuvant treatment: yes (chemoradiation therapy) status
    [C13-2410: Squamous cell carcinoma, moderately differentiated]
  - Tumor regression grade: grade 2 (minimal response)
  - Gross type: diffuse infiltrative
  - Location of tumor: lower thoracic (6.6cm from GE junction)
  - Size of tumor: 0.5 x 0.4 x 0.3cm, 0.4 x 0.1 x 0.03cm 
  - Depth of invasion (AJCC 7th ed.):
     invades muscularis propria (ypT2)
  - Surgical margin: free from carcinoma
     (safety margin: proximal, 5.0cm; distal, 16.5cm; 
                     radial, 2.4mm)
  - Lymph node: metastasis in one out of 42 lymph nodes (ypN1)
     (LN#2L, 0/3; LN#2R, 1/3; LN#4L, 0/2; LN#7, 0/7; 
      LN#8L, 0/2; LN#8M, 0/4; LN#10L, 0/4; LN#16, 0/4; 
      LN#17, 0/2; LN#18, 0/1; LN#15, 0/1; LN#20, 0/7; 
      "Rt recurred laryngeal LN" (Fro #1-Fro #2), 0/2)
  - Lymphatic invasion: not identified
  - Venous invasion: not identified
  - Perineural invasion: not identified
  - Tumor border: infiltrative
  - Stromal reaction: none
  - Intramural metastasis: absent
  - Precancerous lesion: present (low grade dysplasia)</t>
  </si>
  <si>
    <t>anastomosis site</t>
  </si>
  <si>
    <t>3.8 x 3.1 x 1.3 cm</t>
  </si>
  <si>
    <t>ypT2N1</t>
    <phoneticPr fontId="0" type="noConversion"/>
  </si>
  <si>
    <t>mediastinum (4cm/1cm; 2cm/1cm; 1cm)</t>
    <phoneticPr fontId="0" type="noConversion"/>
  </si>
  <si>
    <t>30-40</t>
    <phoneticPr fontId="0" type="noConversion"/>
  </si>
  <si>
    <t>우홍희</t>
  </si>
  <si>
    <t>SNUH_048</t>
  </si>
  <si>
    <t>CCRT with TC (for neoadjuvant)</t>
  </si>
  <si>
    <t>d/t pneumonia &amp; PD of metastatic cancer</t>
  </si>
  <si>
    <t>VATS metastasectomy (LUL WR) (2014/5/16) → adj chemo XP cisplatin xeloda (2014/6/9 - 2014/11/20)</t>
  </si>
  <si>
    <t>LUL, 7</t>
    <phoneticPr fontId="0" type="noConversion"/>
  </si>
  <si>
    <t>2015.5.17 응급실 방문후 요양병원으로 전원 후 사망함</t>
  </si>
  <si>
    <t>Esophagus and proximal stomach, Mckeown operation:
 No residual tumor
  - Neoadjuvant treatment: yes, chemoradiation therapy status
     (C13-1088: squamous cell carcinoma, moderately differentiated)
  - Tumor regression grade: grade 0 (complete response)
  - Depth of invasion (AJCC 7th ed.):
     no residual tumor (ypT0)
  - Surgical margin: free from carcinoma
  - Lymph node: no metastasis in 35 lymph nodes (ypN0)
     (LN#2L, 0/1; LN#4L, 0/2; LN#5, 0/0; LN#7, 0/3;
      LN#8M, 0/2; LN#8L, 0/0; LN#9L, 0/1; LN#9R, 0/1;
      LN#10, 0/0; LN#17, 0/17; LN#18, 0/1; LN#20, 0/0;
      right recurrent laryngeal LN, 0/7)
  - Lymphatic invasion: not identified
  - Venous invasion: not identified
  - Perineural invasion: not identified
  - Associated findings: ulceration</t>
  </si>
  <si>
    <t>mediastinum (4.5cm/0.5-1cm; 1cm; 1cm)</t>
    <phoneticPr fontId="0" type="noConversion"/>
  </si>
  <si>
    <t>강기봉</t>
  </si>
  <si>
    <t>SNUH_046</t>
  </si>
  <si>
    <t xml:space="preserve">2015-03-10 Repair of incisional hernia c malex mesh d/t Incisional hernia esophageal cancer </t>
  </si>
  <si>
    <t>Esophagus, Ivor-Lewis operation:
 No residual tumor 
  - Neoadjuvant treatment: yes (chemoradiation therapy status)
     (S12-54809: Squamous cell carcinoma, well differentiated
  - Tumor regression grade: grade 0 (complete response)
  - Depth of invasion (AJCC 7th ed.): No residual tumor (ypT0)
  - Surgical margin: free from carcinoma
  - Lymph node: no metastasis in  46 lymph nodes (yPN0)
     (Rt. recurrent laryngeal LN, 0/8; LN#2L, 0/4; LN#3p, 0/0; 
     LN#4L, 0/2; LN#7, 0/12; LN#8M, 0/0; LN#8L, 0/1; LN#16, 0/2;
     LN#17, 0/9 (see note 1) and (see note 2)); LN#18, 0/6; 
     LN#19, 0/2)
  - Associated findings: Low grade squamous dysplasia
(Note 1) 림프절내 viable tumor cell은 관찰되지 않으며 necrotic keratin material이 관찰되어 metastatic squamous cell carcinoma에 대한 chemoradiation effect로 생각됩니다. 
(Note 2) 간 조직이 일부 관찰됩니다.</t>
  </si>
  <si>
    <t>35-40</t>
    <phoneticPr fontId="0" type="noConversion"/>
  </si>
  <si>
    <t>강춘희</t>
  </si>
  <si>
    <t>SNUH_045</t>
  </si>
  <si>
    <t># Esophageal cancer,SqCC,cT3N1 CCRT with FP</t>
  </si>
  <si>
    <t>2R (out-field)</t>
    <phoneticPr fontId="0" type="noConversion"/>
  </si>
  <si>
    <t>Esopahgus, Ivor Lewis operation:
 1. SQUAMOUS CELL CARCINOMA, well differentiated
  - Neoadjuvant treatment: yes, chemoradiation therapy status
  - Tumor regression grade: grade 2 (minimal response)
  - Gross type: ulceroinfiltrative
  - Location of tumor: lower thoracic
  - Size of tumor: 1.2 x 1.0 x 0.4cm
  - Depth of invasion (AJCC 7th ed.):
     invades submucosa (pT1b)
  - Surgical margin: free from carcinoma
     (safety margin: proximal, 1.9cm; distal, 10.3cm; 
       radial, 4mm)
  - Lymph node: no metastasis in 35 lymph nodes (pN0)
     (LN#2L, 0/2; LN#4L, 0/7; LN#7, 0/2; LN#8M, 0/7;
      LN#8L, 0/0; LN#10L, 0/2; LN#10R, 0/1; LN#16, 0/5;
      LN#17, 0/7; LN#18, 0/0; LN#19, 0/1; LN#20, 0/0;
      Rt. recurrent laryngeal LN, 0/1)
  - Lymphatic invasion: present, mural, peritumoral
  - Venous invasion: not identified
  - Perineural invasion: not identified
  - Tumor border: infiltrative
  - Stromal reaction: lymphoid
  - Intramural metastasis: absent
  - Precancerous lesion: not identified
 2. Leiomyoma with
     size: 0.4 x 0.3cm
Tissue labeled "anvil RM (eso)", "anvil RM (sto)", excision:
 No tumor involvement</t>
  </si>
  <si>
    <t>1.2 x 1.0 x 0.4cm</t>
  </si>
  <si>
    <t>이원식</t>
  </si>
  <si>
    <t>SNUH_044</t>
  </si>
  <si>
    <t>#. Esophageal cancer, cT3N1 s/p stent insertion (6/8) CCRT with FP (for neoadjuvant)</t>
  </si>
  <si>
    <t>Rt. Neck LN -&gt; bone</t>
    <phoneticPr fontId="2" type="noConversion"/>
  </si>
  <si>
    <t>in field</t>
  </si>
  <si>
    <t>Rt lower neck</t>
    <phoneticPr fontId="0" type="noConversion"/>
  </si>
  <si>
    <t>clinical trial at severance hospital (from 15.5.9)</t>
  </si>
  <si>
    <t>Esophagus, Ivor-Lewis operation:
 No residual tumor
  - Neoadjuvant treatment: yes, chemoradiation therapy status
     (C12-2298: squamous cell carcinoma)
  - Tumor regression grade: grade 0 (complete response)
  - Depth of invasion (AJCC 7th ed.):
     no residual tumor (ypT0)
  - Surgical margin: free from carcinoma
  - Lymph node: no metastasis in 35 lymph nodes (pN2)
     (LN#2A, 0/1; LN#2R, 0/6; LN#4, 0/7; LN#5L, 0/2;
      LN#7, 0/3; LN#8, 0/1; LN#8L, 0/6 (see note); 
      LN#8M, 0/3; LN#18, 0/2; LN#20, 0/1; 
      Rt. recurrent laryngeal LN, 0/1; peritumoral LN, 0/2)
(Note) 림프절 내 viable tumor cell은 관찰되지 않으며 necrotic keratin material이 관찰되어 metastatic squamous cell carcinoma에 대한 chemoradiation effect로 생각됩니다.
Lymph node: no metastasis in 35 lymph nodes (ypN0) (see note)</t>
  </si>
  <si>
    <t>med+abd (0.5-1cm; 0; 0.5-1cm)</t>
    <phoneticPr fontId="0" type="noConversion"/>
  </si>
  <si>
    <t>Rt SCL, 2R, Lt gastric LN</t>
    <phoneticPr fontId="0" type="noConversion"/>
  </si>
  <si>
    <t>나은주</t>
  </si>
  <si>
    <t>SNUH_039</t>
  </si>
  <si>
    <r>
      <t>Anastomotic leakage</t>
    </r>
    <r>
      <rPr>
        <sz val="10"/>
        <rFont val="돋움"/>
        <family val="3"/>
        <charset val="129"/>
      </rPr>
      <t>가</t>
    </r>
    <r>
      <rPr>
        <sz val="10"/>
        <rFont val="Arial"/>
        <family val="2"/>
      </rPr>
      <t xml:space="preserve"> </t>
    </r>
    <r>
      <rPr>
        <sz val="10"/>
        <rFont val="돋움"/>
        <family val="3"/>
        <charset val="129"/>
      </rPr>
      <t>문제였다</t>
    </r>
    <r>
      <rPr>
        <sz val="10"/>
        <rFont val="Arial"/>
        <family val="2"/>
      </rPr>
      <t>.</t>
    </r>
    <phoneticPr fontId="2" type="noConversion"/>
  </si>
  <si>
    <t>pleural seeding</t>
    <phoneticPr fontId="2" type="noConversion"/>
  </si>
  <si>
    <t>LR -&gt; peritnoneal seeding</t>
    <phoneticPr fontId="0" type="noConversion"/>
  </si>
  <si>
    <t>Esophagus, Ivor Lewis operation:
 SQUAMOUS CELL CARCINOMA, moderately differentiated
  - Neoadjuvant treatment: yes (chemoradiation therapy) status
     (C12-3480: SQUAMOUS CELL CARCINOMA)
  - Tumor regression grade: grade 2 (minimal response)
  - Gross type: ulcerative and localized
  - Location of tumor: gastroesohpageal junction 
     (2.0cm from GE junction)
  - Size of tumor: 4.5 x 2.6 x 1.1cm
  - Depth of invasion (AJCC 7th ed.):
     invades adventitia (pT3)
  - Surgical margin: free from carcinoma
     (safety margin: proximal, 5.5cm; distal, 3.4cm; radial, 3mm)
  - Lymph node: no metastasis in 44 lymph nodes (pN0)
     (LN#2L, 0/0; LN#3p, 0/1; LN#4L, 0/6; LN#5, 0/4;
      LN#7(including Fro#1), 0/5; LN#8L, 0/1; LN#8M, 0/4; 
      LN#10L, 0/1; LN#16, 0/3; LN#17, 0/11; laryngeal LN, 0/1;
      peritumoral LN, 0/7)
  - Lymphatic invasion: present, mural, peritumoral
  - Venous invasion: not identified
  - Perineural invasion: present, mural, extramural, intratumoral
  - Tumor border: infiltrative
  - Stromal reaction: none
  - Intramural metastasis: absent
  - Precancerous lesion: not identified
  - Associated findings: none
Stomach, excision:
 Involvement of SQUAMOUS CELL CARCINOMA with
  clear resection margin
Tissue labeled "anvil esophagus LN", excision:
 No tumor involvement
Stomach, "stomach body", excision:
 No tumor involvement
Tissue labeled "anvil stomach RM", excision:
 No tumor involvement</t>
  </si>
  <si>
    <t>4.5 x 2.6 x 1.1cm</t>
  </si>
  <si>
    <t>mediastinum (2-4cm/1cm; 1cm; 1cm)</t>
    <phoneticPr fontId="0" type="noConversion"/>
  </si>
  <si>
    <t>eso mass, gross LN (Rt level III)</t>
  </si>
  <si>
    <t>김수일</t>
  </si>
  <si>
    <t>SNUH_038</t>
  </si>
  <si>
    <t># Esophageal cancer (UI 32-40cm, SqCC), cT3N1 CCRT with FP (for neoadjuvant) incomplete RT d/t low performance and guardian's want</t>
  </si>
  <si>
    <t>liver seeding nodule</t>
    <phoneticPr fontId="0" type="noConversion"/>
  </si>
  <si>
    <t>Esophagus, Ivor Lewis operation:
 SQUAMOUS CELL CARCINOMA, poorly differentiated
  - Neoadjuvant treatment: yes (chemoradiation therapy) status
     (C12-1002: SQUAMOUS CELL CARCINOMA, poorly differentiated)
  - Tumor regression grade: grade 2 (minimal response)
  - Gross type: ulceroinfiltrative
  - Location of tumor: lower thoracic
  - Size of tumor: 1.1 x 0.8 x 0.6cm
  - Depth of invasion (AJCC 7th ed.):
     invades adventitia (ypT3)
  - Surgical margin: free from carcinoma
     (safety margin: proximal, 0.1cm; distal, 5.4cm; radial, 1mm)
  - Lymph node: metastasis in six out of 25 lymph nodes (ypN2)
     (LN#2L, 0/0; LN#3p, 0/1; LN#4L, 0/1; LN#7, 0/8;
      LN#8, 0/1; LN#8L, 0/2; LN#20, 1/1; LN#18(Fro#2), 1/1;
      peritumoral LN, 1/1; gasrohepatic LN, 1/1; 
      right recurrent laryngeal LN, 2/6; "LN"(Fro#1), 0/0; 
      peripancreatic LN, 0/2)
  - Lymphatic invasion: present, mural, extramural, intratumoral,
      peritumoral
  - Venous invasion: not identified
  - Perineural invasion: not identified
  - Tumor border: infiltrative
  - Stromal reaction: none
  - Intramural metastasis: absent
  - Precancerous lesion: not identified
  - Associated findings: none
Stomach, pancreas and liver, subtotal pancreatectomy:
 METASTATIC SQUAMOUS CELL CARCINOMA, poorly differentiated from
  esophagus with
   1) size: about 2.5 x 2.0 x 1.9cm
   2) involvement of stomach from serosa to proper muscle
   3) involvement of hepatic parenchyme, focal
   4) no involvement of pancreas parenchyme
   5) extensive tumor necrosis
   6) multiple lymphovascular invasion
   7) perineural invasion: present
   8) clear resection margin
Liver, left, lobectomy:
 METASTATIC SQUAMOUS CELL CARCINOMA, poorly differentiated from
  esophagus with
   1) size: 0.4 x 0.2cm
   2) involvement of perihilar soft tissue
   3) no involvement of hepatic parenchyme
   4) multiple endolymphatic tumor emboli
   5) clear resection margin
Liver, "liver nodule #1", "liver nodule #2", "liver nodule #3",
 "liver tumor margin", excision:
   METASTATIC SQUAMOUS CELL CARCINOMA, poorly differentiated from
    esophagus with
    1) size: up to about 0.7 x 0.4 x 0.4cm
    2) involvement of resection margin
Spleen, total splenectomy:
 No tumor involvement
Stomach, "stomach", "stomach wall", "anvil RM(stomach)", excision:
 No tumor involvement
Esophagus, "anvil RM(esophagus)", excision:
 No tumor involvement
Gallbladder, cholecystectomy:
 No tumor involvement</t>
  </si>
  <si>
    <t>1.1 x 0.8 x 0.6cm</t>
  </si>
  <si>
    <t>ypT3N2 TRG2 M1 (stomach, pancreas, liver)</t>
  </si>
  <si>
    <t>ivor lewis + subtotal pancreatectomy + Lt liver lobectomy + total splenectomy + stomach excision + cholecystectomy</t>
  </si>
  <si>
    <t>eso mass, gross LN (paraeso, Lt perigastric)</t>
  </si>
  <si>
    <t>8, Lt gastric</t>
    <phoneticPr fontId="0" type="noConversion"/>
  </si>
  <si>
    <t>32-40</t>
    <phoneticPr fontId="0" type="noConversion"/>
  </si>
  <si>
    <t>조종호</t>
  </si>
  <si>
    <t>SNUH_034</t>
  </si>
  <si>
    <t>#. Eshophageal cancer (UI 35cm, SqCC), cT3N1 CCRT with FP (for neoadjuvant)</t>
  </si>
  <si>
    <t>poor oral intake 로 인한 사망으로 추정됨</t>
  </si>
  <si>
    <t>Bougienage for esophageal stenosis 2014-02-21, DOD</t>
  </si>
  <si>
    <t>Esophagus, Ivor-Lewis operation:
 No residual tumor with
  1) post-neoadjuvant chemoradiotherapy status
      (C12-1000: squamous cell carcinoma, moderately differentiated)
  2) no metastasis in 65 lymph nodes 
      (pretracheal LN, 0/8; Lt.level III LN, 0/0;
       Rt.level IV LN, 0/2; Lt.level V LN, 0/12;
       Rt.level VI LN (including Fro#1, 2), 0/2;
       Rt.level V LN, 0/3; Lt.level VI LN, 0/1;
       LN#3, 0/13; LN#3P, 0/0; LN#8M, 0/9; LN#8L, 0/3;
       LN#16, 0/0; LN#17, 0/9; LN#18, 0/3)
  3) clear proximal and distal resection margins
Tissue labeled "PEG site", excision:
 No tumor involvement
Tissue labeled "stomach", excision:
 No tumor involvement</t>
  </si>
  <si>
    <t>Rt SCL+med (4cm/1cm; 1cm; 1cm)</t>
    <phoneticPr fontId="0" type="noConversion"/>
  </si>
  <si>
    <t>eso mass, gross LN (Rt scl)</t>
  </si>
  <si>
    <t>1R (Rt. SCL?)</t>
    <phoneticPr fontId="0" type="noConversion"/>
  </si>
  <si>
    <t>김주환</t>
  </si>
  <si>
    <t>SNUH_033</t>
  </si>
  <si>
    <t># Esophageal cancer (SqCC, 30cm), cN1 CCRT with FP (for neoadjuvant)</t>
  </si>
  <si>
    <t>bone, liver -&gt; Rt SCL</t>
  </si>
  <si>
    <t>bone, liver -&gt; Rt SCL, prevascular, paratracheal LNs</t>
  </si>
  <si>
    <t>LRR -&gt; McKeown&amp;ND -&gt; bone, liver -&gt; Rt SCL, prevascular, paratracheal LNs</t>
    <phoneticPr fontId="0" type="noConversion"/>
  </si>
  <si>
    <t>in --&gt; distal -&gt; distal &amp; in &amp; out</t>
    <phoneticPr fontId="2" type="noConversion"/>
  </si>
  <si>
    <t xml:space="preserve">Esophagus, Ivor-Lewis operation:
 1. SQUAMOUS CELL CARCINOMA, moderate differentiated
- Post chemoradiation therapy status 
   (C11-3463: squamous cell carcinoma) 
- Gross type: ulceroinfiltrative
- Location of tumor: lower thoracic (5.1㎝ from GE junction)
- Size: 1.1 x 0.8 x 0.1cm
- Depth of invasion: Tumor invades submucosa (ypT1b)
- Resection margin: free from carcinoma
   safety margin: proximal, 3.3㎝; distal, 7㎝; radial, 6㎜
- Lymph node metastasis: 
   metastasis in one out of 21 regional lymph nodes (ypN1) 
    (LN#Lt.2, 0/0; LN#3P, 0/0; LN#Lt.4, 0/2; LN#5, 1/3; 
     LN#7, 0/5; LN#8M, 0/0; LN#8L, 0/2; LN#15, 0/0; LN#16, 0/0;
     LN#17, 0/2; Rt. recurrent laryngeal LN, 0/5; celiac LN, 0/2)
- Lymphatic invasion: not identified
- Venous invasion: not identified
- Perineural invasion: not identified
- Tumor border: infiltrative
- Stromal reaction: none
- Intramural metastasis: absent
- Precancerous lesion: not identified
- Associated findings: none 
 2. Leiomyoma with 
     size: 0.1 x 0.1cm </t>
  </si>
  <si>
    <t>1.1 x 0.8 x 0.1cm</t>
  </si>
  <si>
    <t>ypT1bN1</t>
    <phoneticPr fontId="0" type="noConversion"/>
  </si>
  <si>
    <t>eso mass, gross LN (subaortic)</t>
  </si>
  <si>
    <t>cN1</t>
  </si>
  <si>
    <t>5.1cm from GE junction</t>
    <phoneticPr fontId="2" type="noConversion"/>
  </si>
  <si>
    <t>진대석</t>
  </si>
  <si>
    <t>SNUH_025</t>
  </si>
  <si>
    <t>Esophageal cancer (SqCC, UI 30-35cm, 38cm), cT2N+ CCRT with FP (for neoadjuvant)</t>
  </si>
  <si>
    <t>Esophagus, Ivor-Lewis, operation:
 No residual tumor with 
  1) Post neoadjuvant chemoradiation therapy status 
     (S11-38427: squamous cell carcinoma, moderately differentiated)
  2) clear resection margins 
  3) no metastasis in 24 lymph nodes
     (Recurrent laryngeal LN (include Fro #1), 0/1; #3p LN, 0/6; 
      #4R LN, 0/1; #7 LN, 0/5; #8M LN, 0/1; #2L LN, 0/0; 
      #4L LN, 0/1; #8L LN, 0/4; #10L, 0/0; #16 LN, 0/1; 
      #17 LN, 0/1; #18 LN, 0/2; #19 LN, 0/0; #20 LN, 0/1) 
Lung, right middle lobe, wedge resection: 
 Chronic granulomatous inflammation with 
   caseous necrosis
Tissue labeled "pleura", excision:
  No tumor involvement with 
    no diagnostic abnormalities</t>
  </si>
  <si>
    <t>ivor lewis + RML WR</t>
  </si>
  <si>
    <t>med+abd (2cm/0.5cm, 0, 1cm)</t>
    <phoneticPr fontId="0" type="noConversion"/>
  </si>
  <si>
    <t>eso mass, gross LN (1R, 4R, PAN, abd)</t>
  </si>
  <si>
    <t>1R,4R,PAN,Lt gastric</t>
    <phoneticPr fontId="0" type="noConversion"/>
  </si>
  <si>
    <t>30-35, 38</t>
    <phoneticPr fontId="0" type="noConversion"/>
  </si>
  <si>
    <t>김재흥</t>
  </si>
  <si>
    <t>SNUH_023</t>
  </si>
  <si>
    <t>#. Esophageal cancer (SCCa, UI 29-34cm), cT3N1 s/p CCRT 50.4Gy w/CDDP (6/22/11- 7/29/11) s/p Ivor Lewis operation (8/31/11) R2 resection PORT to tumor bed (R2 resection site)</t>
  </si>
  <si>
    <t>+local recurrence, bone</t>
    <phoneticPr fontId="2" type="noConversion"/>
  </si>
  <si>
    <t>pall DP #2 (20%DR) '12.5.15~   )</t>
  </si>
  <si>
    <t>pleural seeding -&gt; local recurrence, bone</t>
    <phoneticPr fontId="0" type="noConversion"/>
  </si>
  <si>
    <t>bedridden, ds</t>
  </si>
  <si>
    <t>3.2x2.8x1.6</t>
  </si>
  <si>
    <t>4cm/1cm; 2cm/1cm; 1cm</t>
    <phoneticPr fontId="0" type="noConversion"/>
  </si>
  <si>
    <r>
      <t>(</t>
    </r>
    <r>
      <rPr>
        <sz val="10"/>
        <rFont val="돋움"/>
        <family val="3"/>
        <charset val="129"/>
      </rPr>
      <t>별도의</t>
    </r>
    <r>
      <rPr>
        <sz val="10"/>
        <rFont val="Arial"/>
        <family val="2"/>
      </rPr>
      <t xml:space="preserve"> </t>
    </r>
    <r>
      <rPr>
        <sz val="10"/>
        <rFont val="돋움"/>
        <family val="3"/>
        <charset val="129"/>
      </rPr>
      <t>기술</t>
    </r>
    <r>
      <rPr>
        <sz val="10"/>
        <rFont val="Arial"/>
        <family val="2"/>
      </rPr>
      <t xml:space="preserve"> </t>
    </r>
    <r>
      <rPr>
        <sz val="10"/>
        <rFont val="돋움"/>
        <family val="3"/>
        <charset val="129"/>
      </rPr>
      <t>없으면서</t>
    </r>
    <r>
      <rPr>
        <sz val="10"/>
        <rFont val="Arial"/>
        <family val="2"/>
      </rPr>
      <t xml:space="preserve"> primary</t>
    </r>
    <r>
      <rPr>
        <sz val="10"/>
        <rFont val="돋움"/>
        <family val="3"/>
        <charset val="129"/>
      </rPr>
      <t>랑</t>
    </r>
    <r>
      <rPr>
        <sz val="10"/>
        <rFont val="Arial"/>
        <family val="2"/>
      </rPr>
      <t xml:space="preserve"> </t>
    </r>
    <r>
      <rPr>
        <sz val="10"/>
        <rFont val="돋움"/>
        <family val="3"/>
        <charset val="129"/>
      </rPr>
      <t>같은</t>
    </r>
    <r>
      <rPr>
        <sz val="10"/>
        <rFont val="Arial"/>
        <family val="2"/>
      </rPr>
      <t xml:space="preserve"> axial plane</t>
    </r>
    <r>
      <rPr>
        <sz val="10"/>
        <rFont val="돋움"/>
        <family val="3"/>
        <charset val="129"/>
      </rPr>
      <t>임</t>
    </r>
    <r>
      <rPr>
        <sz val="10"/>
        <rFont val="Arial"/>
        <family val="2"/>
      </rPr>
      <t>)</t>
    </r>
    <phoneticPr fontId="2" type="noConversion"/>
  </si>
  <si>
    <t>eso mass, LN (Lt paraeso)</t>
  </si>
  <si>
    <t>pT3N1</t>
  </si>
  <si>
    <t xml:space="preserve">GE junction </t>
  </si>
  <si>
    <t>이재호</t>
  </si>
  <si>
    <t>SNUH_020</t>
  </si>
  <si>
    <t>Esophagus, Ivor-Lewis operation:
 SQUAMOUS CELL CARCINOMA, moderate differentiated
- Post neoadjuvant chemoradiation therapy status.
   (S10-57247: Squamous cell carcinoma) 
- Gross type: ulceroinfiltrative
- Location of tumor: lower thoracic (1.3㎝ from GE junction)
- Size of residual tumor: 0.3 x 0.3  x 0.2 cm
- Depth of invasion: 
    Tumor invades submucosay (ypT1b)
- Resection margin: free from carcinoma
   safety margin: proximal,(3.4cm; distal, 4.8cm, radial, 0.7cm)
- Lymph node metastasis: 
   No metastasis in 35 regional lymph nodes (ypN0)
   (LN#1R, 0/2; LN#2L, 0/0; LN#7(including Fro #1 and #2), 0/8;
    LN#2R+4R, 0/8; LN#4R(including Fro #3), 0/3
    common hepatic, 0/4; periesophageal, 0/3;
    perigastric LN, 0/7)
- Lymphatic invasion: not identified
- Venous invasion: not identified
- Perineural invasion: not identified
- Tumor border: infiltrative
- Stromal reaction: none
- Intramural metastasis: absent
- Precancerous lesion: not identified
- Associated findings: none
Tissue labeled "splenic artery", excision:
 Fibroadipose tissue with
  No tumor involvement</t>
  </si>
  <si>
    <t>0.3 x 0.3  x 0.2 cm</t>
  </si>
  <si>
    <t xml:space="preserve">ypT1bN0 </t>
  </si>
  <si>
    <t>med+abd (4.5cm/1cm; 0.5cm)</t>
    <phoneticPr fontId="0" type="noConversion"/>
  </si>
  <si>
    <t>celiac, SMA node</t>
  </si>
  <si>
    <t>eso mass, gross LN (Lt gastric, celiac, SMA)</t>
  </si>
  <si>
    <t>Lt gastric, celiac, SMA (PAN?)</t>
    <phoneticPr fontId="0" type="noConversion"/>
  </si>
  <si>
    <t>36-GEJ</t>
    <phoneticPr fontId="0" type="noConversion"/>
  </si>
  <si>
    <t>손종만</t>
  </si>
  <si>
    <t>SNUH_017</t>
  </si>
  <si>
    <t>CCRT w/Cetuximab + Paclitaxel + carboplatin</t>
  </si>
  <si>
    <t>cetuximab, paclitaxel, carboplatin</t>
  </si>
  <si>
    <t>45+9</t>
    <phoneticPr fontId="0" type="noConversion"/>
  </si>
  <si>
    <t>upper mediastinum &amp; med SCL</t>
    <phoneticPr fontId="0" type="noConversion"/>
  </si>
  <si>
    <t>Mid Esophageal gross tumor</t>
  </si>
  <si>
    <t>22-25</t>
    <phoneticPr fontId="0" type="noConversion"/>
  </si>
  <si>
    <t>신희철</t>
  </si>
  <si>
    <t>SNUH_009</t>
  </si>
  <si>
    <t>preop CCRT w/ FP#2 (1000/60, D1-4,D1,q 4wks) (50.4Gy, 9/24 -10/23)</t>
  </si>
  <si>
    <t>s/p FP#1 (3/19/09) -&gt; further chemo refused</t>
    <phoneticPr fontId="2" type="noConversion"/>
  </si>
  <si>
    <t>lung, LUL</t>
  </si>
  <si>
    <t xml:space="preserve">Esophagus, extended Ivor-Lewis operation:
 INVASIVE SQUAMOUS CELL CARCINOMA, moderately differentiated
  - post neoadjuvant chemoradiation therapy status  
  - Gross type: diffuse infiltrative 
  - Location of tumor: middle thoracic (9cm from GE junction) 
  - Size of tumor: 4 x 3.1 x 0.5cm 
  - Depth of invasion:  
     invades adventitia (pT3)
  - Surgical margins: involved by radial resection margin 
     safety margin: proximal, 0.5cm; distal, 12cm
  - Lymph node: metastasis in eight out of 52 lymph nodes (ypN1)
     (LN#1, 0/1; LN#1L, 0/3; LN#2L and 4L, 0/2; 
      LN#5R (including Fro#2, S08-50209), 0/5; 
      LN#7 (including Fro#1, S08-50209), 0/2; 
      right level III, 0/6; 
      right level IV (including Fro#3, S08-50209), 0/7; 
      right level V, 0/1; right level VI (Fro#4, S08-50209), 1/3;
      left level III, 0/0; left level IV, 0/0; left level V, 0/2; 
      left level VI, 0/0; pretracheal LN, 0/0; 
      periesophageal LN, 3/7; greater curvature LN, 4/13)   
  - Angiolymphatic invasion: present, mural, intratumoral
  - Venous invasion: present, extramural, peritumoral
  - Perineural invasion: not identified
  - Tumor border: infiltrative
  - Stromal reaction: not identified
  - Intamural metastasis: absent 
  - Preexisting adenoma: not identified
  - Associated findings: none 
Tissue labeled "proximal margin #1" and "proximal margin #2", 
resection:  
 No tumor involvement </t>
  </si>
  <si>
    <t xml:space="preserve">4 x 3.1 x 0.5cm </t>
  </si>
  <si>
    <t>ypT3N1M0</t>
  </si>
  <si>
    <t>esophagus, Lt scl, paraeso LN</t>
  </si>
  <si>
    <t>Lt SCL</t>
    <phoneticPr fontId="0" type="noConversion"/>
  </si>
  <si>
    <t>cT3N1M1a</t>
  </si>
  <si>
    <t>9cm from GEJ</t>
  </si>
  <si>
    <t>정재상</t>
  </si>
  <si>
    <t>SNUH_006</t>
  </si>
  <si>
    <r>
      <t>concomitant chemotherapy with Paclitaxel/CBDCA // postop wound problem</t>
    </r>
    <r>
      <rPr>
        <sz val="10"/>
        <rFont val="돋움"/>
        <family val="3"/>
        <charset val="129"/>
      </rPr>
      <t>으로</t>
    </r>
    <r>
      <rPr>
        <sz val="10"/>
        <rFont val="Arial"/>
        <family val="2"/>
      </rPr>
      <t xml:space="preserve"> 2007/8/25 </t>
    </r>
    <r>
      <rPr>
        <sz val="10"/>
        <rFont val="돋움"/>
        <family val="3"/>
        <charset val="129"/>
      </rPr>
      <t>추가</t>
    </r>
    <r>
      <rPr>
        <sz val="10"/>
        <rFont val="Arial"/>
        <family val="2"/>
      </rPr>
      <t xml:space="preserve"> </t>
    </r>
    <r>
      <rPr>
        <sz val="10"/>
        <rFont val="돋움"/>
        <family val="3"/>
        <charset val="129"/>
      </rPr>
      <t>수술</t>
    </r>
    <r>
      <rPr>
        <sz val="10"/>
        <rFont val="Arial"/>
        <family val="2"/>
      </rPr>
      <t xml:space="preserve"> </t>
    </r>
    <r>
      <rPr>
        <sz val="10"/>
        <rFont val="돋움"/>
        <family val="3"/>
        <charset val="129"/>
      </rPr>
      <t>시행함</t>
    </r>
    <r>
      <rPr>
        <sz val="10"/>
        <rFont val="Arial"/>
        <family val="2"/>
      </rPr>
      <t>.</t>
    </r>
    <phoneticPr fontId="2" type="noConversion"/>
  </si>
  <si>
    <r>
      <t xml:space="preserve">LULobectomy -&gt; </t>
    </r>
    <r>
      <rPr>
        <sz val="10"/>
        <rFont val="돋움"/>
        <family val="3"/>
        <charset val="129"/>
      </rPr>
      <t>성공적으로</t>
    </r>
    <r>
      <rPr>
        <sz val="10"/>
        <rFont val="Arial"/>
        <family val="2"/>
      </rPr>
      <t xml:space="preserve"> salvage </t>
    </r>
    <r>
      <rPr>
        <sz val="10"/>
        <rFont val="돋움"/>
        <family val="3"/>
        <charset val="129"/>
      </rPr>
      <t>됨</t>
    </r>
    <phoneticPr fontId="2" type="noConversion"/>
  </si>
  <si>
    <t>Esophagus, Ivor-Lewis operation:
 SQUAMOUS CELL CARCINOMA, moderately differentiated,focal residual
  - Post-neoadjuvant chemoradiotherapy status
     (S07-17134: squamous cell carcinoma)
  - Location of tumor: middle thoracic
     (13cm from GE junction)
  - Size of residual tumor: 0.1 x 0.1 x 0.1cm
  - Depth of invasion: carcinoma in situ (ypTis) 
  - Surgical margins: free from tumor
     safety margin: proximal, 3.5cm; distal, 13.3cm
                    radial margin, 0.8cm
  - Lymph node: no metastasis in 43 lymph nodes (ypN0)
     (periesophageal LN, 0/9; LN#6, 0/0, LN#7, 0/1, LN#9A, 0/1,
      common hepatic LN, 0/4; splenic artery LN, 0/10;
      carcial LN, 0/1; celiac artery LN, 0/0;
      right level III, 0/3; right level IV, 0/2;
      right level V, 0/2; right laryngeal recurrent LN, 0/2;
      left level IV, 0/0; left neck III, 0/2; left neck IV, 0/3;
      left neck V, 0/1; left gastric LN, 0/1;
      left laryngeal recurrent LN (Fro#1), 0/1)
  - Angiolymphatic invasion: not identified
  - Venous invasion: not identified
  - Perineural invasion: not identified
  - Stromal reaction: not identified
  - Intramural metastasis; absent
  - Precancerous lesion: not identified
  - Associated findings: none</t>
  </si>
  <si>
    <t>0.1 x 0.1 x 0.1cm</t>
  </si>
  <si>
    <t>cT3N-</t>
  </si>
  <si>
    <t>20-30</t>
    <phoneticPr fontId="0" type="noConversion"/>
  </si>
  <si>
    <t>이욱</t>
  </si>
  <si>
    <t>SNUH_004</t>
  </si>
  <si>
    <t>post_CD8_num_Pos_mm</t>
    <phoneticPr fontId="2" type="noConversion"/>
  </si>
  <si>
    <t>post_CD3_num_Pos_mm</t>
    <phoneticPr fontId="2" type="noConversion"/>
  </si>
  <si>
    <t>post_PDL1_IC</t>
    <phoneticPr fontId="2" type="noConversion"/>
  </si>
  <si>
    <t>post_PDL1_CPS</t>
    <phoneticPr fontId="2" type="noConversion"/>
  </si>
  <si>
    <t>pre_CD8_num_Pos_mm</t>
    <phoneticPr fontId="2" type="noConversion"/>
  </si>
  <si>
    <t>pre_CD3_num_Pos_mm</t>
    <phoneticPr fontId="2" type="noConversion"/>
  </si>
  <si>
    <t>pre_PDL1_IC</t>
    <phoneticPr fontId="2" type="noConversion"/>
  </si>
  <si>
    <t>pre_PDL1_CPS</t>
    <phoneticPr fontId="2" type="noConversion"/>
  </si>
  <si>
    <t>other.malig</t>
  </si>
  <si>
    <t>note</t>
  </si>
  <si>
    <t>Re-RT</t>
  </si>
  <si>
    <t>fistula</t>
    <phoneticPr fontId="2" type="noConversion"/>
  </si>
  <si>
    <t>eso_stricture_needed_intv</t>
    <phoneticPr fontId="2" type="noConversion"/>
  </si>
  <si>
    <t>eso_stricture</t>
    <phoneticPr fontId="2" type="noConversion"/>
  </si>
  <si>
    <t>tox.late</t>
  </si>
  <si>
    <t>tox.acute</t>
  </si>
  <si>
    <t>DMFS</t>
    <phoneticPr fontId="2" type="noConversion"/>
  </si>
  <si>
    <t>DMFS_date</t>
    <phoneticPr fontId="2" type="noConversion"/>
  </si>
  <si>
    <t>DMFS_event</t>
    <phoneticPr fontId="2" type="noConversion"/>
  </si>
  <si>
    <t>LRFS</t>
    <phoneticPr fontId="2" type="noConversion"/>
  </si>
  <si>
    <t>LRFS_date</t>
    <phoneticPr fontId="2" type="noConversion"/>
  </si>
  <si>
    <t>LRFS_event</t>
    <phoneticPr fontId="2" type="noConversion"/>
  </si>
  <si>
    <t>FFS</t>
    <phoneticPr fontId="2" type="noConversion"/>
  </si>
  <si>
    <t>FFS_date</t>
    <phoneticPr fontId="2" type="noConversion"/>
  </si>
  <si>
    <t>FFS_event</t>
    <phoneticPr fontId="2" type="noConversion"/>
  </si>
  <si>
    <t>FFR</t>
    <phoneticPr fontId="2" type="noConversion"/>
  </si>
  <si>
    <t>OS</t>
  </si>
  <si>
    <t>death.date.calc</t>
    <phoneticPr fontId="2" type="noConversion"/>
  </si>
  <si>
    <t>death.date</t>
  </si>
  <si>
    <t>death.cause</t>
  </si>
  <si>
    <t>death_confirm</t>
    <phoneticPr fontId="2" type="noConversion"/>
  </si>
  <si>
    <t>death</t>
  </si>
  <si>
    <t>salvage.tx</t>
  </si>
  <si>
    <t>axilla_failure</t>
    <phoneticPr fontId="2" type="noConversion"/>
  </si>
  <si>
    <t>abdominal_LN_failure</t>
    <phoneticPr fontId="2" type="noConversion"/>
  </si>
  <si>
    <t>neck_failure</t>
    <phoneticPr fontId="2" type="noConversion"/>
  </si>
  <si>
    <t>SCL_failure</t>
    <phoneticPr fontId="2" type="noConversion"/>
  </si>
  <si>
    <t>dm_site_other2</t>
    <phoneticPr fontId="2" type="noConversion"/>
  </si>
  <si>
    <t>dm_site_other</t>
    <phoneticPr fontId="2" type="noConversion"/>
  </si>
  <si>
    <t>dm_site_kidney</t>
    <phoneticPr fontId="2" type="noConversion"/>
  </si>
  <si>
    <t>dm_site_adrenal</t>
    <phoneticPr fontId="2" type="noConversion"/>
  </si>
  <si>
    <t>dm_site_non_regional_LN</t>
    <phoneticPr fontId="2" type="noConversion"/>
  </si>
  <si>
    <t>dm_site_bone</t>
    <phoneticPr fontId="2" type="noConversion"/>
  </si>
  <si>
    <t>dm_site_liver</t>
    <phoneticPr fontId="2" type="noConversion"/>
  </si>
  <si>
    <t>dm_site_peritoneal</t>
    <phoneticPr fontId="2" type="noConversion"/>
  </si>
  <si>
    <t>dm_site_pleura</t>
    <phoneticPr fontId="2" type="noConversion"/>
  </si>
  <si>
    <t>dm_site_lung</t>
    <phoneticPr fontId="2" type="noConversion"/>
  </si>
  <si>
    <t>dm_site</t>
    <phoneticPr fontId="2" type="noConversion"/>
  </si>
  <si>
    <t>dm_dur</t>
    <phoneticPr fontId="2" type="noConversion"/>
  </si>
  <si>
    <t>dm_date</t>
    <phoneticPr fontId="2" type="noConversion"/>
  </si>
  <si>
    <t>Isolated_outfield_recurrence</t>
    <phoneticPr fontId="2" type="noConversion"/>
  </si>
  <si>
    <t>dm</t>
  </si>
  <si>
    <t>pd2.site</t>
  </si>
  <si>
    <t>pd2</t>
  </si>
  <si>
    <t>pd1.tx</t>
  </si>
  <si>
    <t>Locoregional_failure_date</t>
    <phoneticPr fontId="2" type="noConversion"/>
  </si>
  <si>
    <t>Locoregional_failure</t>
    <phoneticPr fontId="2" type="noConversion"/>
  </si>
  <si>
    <t>celiac_axis_failure</t>
    <phoneticPr fontId="2" type="noConversion"/>
  </si>
  <si>
    <t>mediastinal_LN_failure</t>
    <phoneticPr fontId="2" type="noConversion"/>
  </si>
  <si>
    <t>Regional_failure_dur</t>
    <phoneticPr fontId="2" type="noConversion"/>
  </si>
  <si>
    <t>Regional_failure_date</t>
    <phoneticPr fontId="2" type="noConversion"/>
  </si>
  <si>
    <t>infield_and_outfield_regional_failure</t>
    <phoneticPr fontId="2" type="noConversion"/>
  </si>
  <si>
    <t>outfield_regional_failure_only</t>
    <phoneticPr fontId="2" type="noConversion"/>
  </si>
  <si>
    <t>infield_regional_failure_only</t>
    <phoneticPr fontId="2" type="noConversion"/>
  </si>
  <si>
    <t>outfield_regional_failure</t>
    <phoneticPr fontId="2" type="noConversion"/>
  </si>
  <si>
    <t>infield_regional_failure</t>
    <phoneticPr fontId="2" type="noConversion"/>
  </si>
  <si>
    <t>Regional_failure</t>
    <phoneticPr fontId="2" type="noConversion"/>
  </si>
  <si>
    <t>Local_failure_dur</t>
    <phoneticPr fontId="2" type="noConversion"/>
  </si>
  <si>
    <t>Local_failure_date</t>
    <phoneticPr fontId="2" type="noConversion"/>
  </si>
  <si>
    <t>Local_failure</t>
    <phoneticPr fontId="2" type="noConversion"/>
  </si>
  <si>
    <t>pd1.inout</t>
  </si>
  <si>
    <t>pd1.date</t>
  </si>
  <si>
    <t>pd1.site</t>
  </si>
  <si>
    <t>pd1</t>
  </si>
  <si>
    <t>fu.dur</t>
  </si>
  <si>
    <t>last.note</t>
  </si>
  <si>
    <t>last.fu</t>
  </si>
  <si>
    <t>adjuvant_chemo</t>
    <phoneticPr fontId="2" type="noConversion"/>
  </si>
  <si>
    <t>PORT</t>
    <phoneticPr fontId="2" type="noConversion"/>
  </si>
  <si>
    <t>report.text</t>
  </si>
  <si>
    <t>precan.lesion</t>
    <phoneticPr fontId="2" type="noConversion"/>
  </si>
  <si>
    <t>inv.perineural</t>
    <phoneticPr fontId="2" type="noConversion"/>
  </si>
  <si>
    <t>inv.ven</t>
    <phoneticPr fontId="2" type="noConversion"/>
  </si>
  <si>
    <t>inv.lymph</t>
    <phoneticPr fontId="2" type="noConversion"/>
  </si>
  <si>
    <t>ln.ratio</t>
    <phoneticPr fontId="2" type="noConversion"/>
  </si>
  <si>
    <t>MLND.harv</t>
    <phoneticPr fontId="2" type="noConversion"/>
  </si>
  <si>
    <t>MLND.pos</t>
    <phoneticPr fontId="2" type="noConversion"/>
  </si>
  <si>
    <t>sm.radial</t>
  </si>
  <si>
    <t>sm.dist</t>
  </si>
  <si>
    <t>sm.prox</t>
  </si>
  <si>
    <t>sm.status</t>
    <phoneticPr fontId="2" type="noConversion"/>
  </si>
  <si>
    <t>tumor.loc</t>
  </si>
  <si>
    <t>gross type</t>
  </si>
  <si>
    <t>pathology</t>
  </si>
  <si>
    <t>tm.largest</t>
    <phoneticPr fontId="2" type="noConversion"/>
  </si>
  <si>
    <t>residual</t>
  </si>
  <si>
    <t>trg_number</t>
    <phoneticPr fontId="2" type="noConversion"/>
  </si>
  <si>
    <t>trg</t>
  </si>
  <si>
    <t>ypT_stage</t>
    <phoneticPr fontId="2" type="noConversion"/>
  </si>
  <si>
    <t>CR</t>
    <phoneticPr fontId="2" type="noConversion"/>
  </si>
  <si>
    <t>path.stage</t>
  </si>
  <si>
    <t>stage.yp</t>
  </si>
  <si>
    <t>LN_dissection</t>
    <phoneticPr fontId="2" type="noConversion"/>
  </si>
  <si>
    <t>Op_type</t>
    <phoneticPr fontId="2" type="noConversion"/>
  </si>
  <si>
    <t>op.name</t>
  </si>
  <si>
    <t>RT_op_interval</t>
    <phoneticPr fontId="2" type="noConversion"/>
  </si>
  <si>
    <t>op.date</t>
  </si>
  <si>
    <t>op</t>
  </si>
  <si>
    <t>postCCRT_PET_SUV</t>
    <phoneticPr fontId="2" type="noConversion"/>
  </si>
  <si>
    <t>baseline_PET_SUV</t>
    <phoneticPr fontId="2" type="noConversion"/>
  </si>
  <si>
    <t>base.bsa</t>
  </si>
  <si>
    <t>base.plt</t>
    <phoneticPr fontId="2" type="noConversion"/>
  </si>
  <si>
    <t>base.hb</t>
    <phoneticPr fontId="2" type="noConversion"/>
  </si>
  <si>
    <t>base.lymph</t>
    <phoneticPr fontId="2" type="noConversion"/>
  </si>
  <si>
    <t>base.seg.neut</t>
    <phoneticPr fontId="2" type="noConversion"/>
  </si>
  <si>
    <t>base.wbc</t>
    <phoneticPr fontId="2" type="noConversion"/>
  </si>
  <si>
    <t>ctx_completed</t>
    <phoneticPr fontId="2" type="noConversion"/>
  </si>
  <si>
    <t>ctx.seq</t>
  </si>
  <si>
    <t>ctx.text</t>
  </si>
  <si>
    <t>ctx.reg</t>
    <phoneticPr fontId="2" type="noConversion"/>
  </si>
  <si>
    <t>ctx.start</t>
  </si>
  <si>
    <t>ccrt</t>
  </si>
  <si>
    <t>RT.complete</t>
  </si>
  <si>
    <t>RT.tech_IMRT</t>
    <phoneticPr fontId="2" type="noConversion"/>
  </si>
  <si>
    <t>RT.tech</t>
    <phoneticPr fontId="2" type="noConversion"/>
  </si>
  <si>
    <t>RT.fd</t>
    <phoneticPr fontId="2" type="noConversion"/>
  </si>
  <si>
    <t>TF</t>
  </si>
  <si>
    <t>TD</t>
    <phoneticPr fontId="2" type="noConversion"/>
  </si>
  <si>
    <t>RF.num</t>
    <phoneticPr fontId="2" type="noConversion"/>
  </si>
  <si>
    <t>RF</t>
  </si>
  <si>
    <t>LF</t>
  </si>
  <si>
    <t>dose.text</t>
  </si>
  <si>
    <t>field.text</t>
  </si>
  <si>
    <t>PTV_vol</t>
    <phoneticPr fontId="2" type="noConversion"/>
  </si>
  <si>
    <t>CTVp_actual_expansion_inf</t>
    <phoneticPr fontId="2" type="noConversion"/>
  </si>
  <si>
    <t>CTVp_actual_expansion_sup</t>
    <phoneticPr fontId="2" type="noConversion"/>
  </si>
  <si>
    <t>CTV_vol</t>
    <phoneticPr fontId="2" type="noConversion"/>
  </si>
  <si>
    <t>GTV_length</t>
    <phoneticPr fontId="2" type="noConversion"/>
  </si>
  <si>
    <t>ptv</t>
  </si>
  <si>
    <t>ctv.rf.rad</t>
  </si>
  <si>
    <t>ctv.rf.si</t>
  </si>
  <si>
    <t>CTV_SI_nodal</t>
    <phoneticPr fontId="2" type="noConversion"/>
  </si>
  <si>
    <t>ctv.lf.rad</t>
  </si>
  <si>
    <t>ctv.lf.si</t>
  </si>
  <si>
    <t>Small_field_3</t>
    <phoneticPr fontId="2" type="noConversion"/>
  </si>
  <si>
    <t>Small_field_2</t>
    <phoneticPr fontId="2" type="noConversion"/>
  </si>
  <si>
    <t>Small_field_1</t>
    <phoneticPr fontId="2" type="noConversion"/>
  </si>
  <si>
    <t>True_IFI</t>
    <phoneticPr fontId="2" type="noConversion"/>
  </si>
  <si>
    <t>elective_celiac_axis</t>
    <phoneticPr fontId="2" type="noConversion"/>
  </si>
  <si>
    <t>elective_SCL</t>
    <phoneticPr fontId="2" type="noConversion"/>
  </si>
  <si>
    <t>elective_mediastinal</t>
    <phoneticPr fontId="2" type="noConversion"/>
  </si>
  <si>
    <t>elective_RT</t>
    <phoneticPr fontId="2" type="noConversion"/>
  </si>
  <si>
    <t>ctv.text</t>
  </si>
  <si>
    <t>gtv</t>
  </si>
  <si>
    <t>rt.end</t>
  </si>
  <si>
    <t>rt.start</t>
  </si>
  <si>
    <t>initial_scl_alone</t>
    <phoneticPr fontId="2" type="noConversion"/>
  </si>
  <si>
    <t>non_regional_LN_meta</t>
    <phoneticPr fontId="2" type="noConversion"/>
  </si>
  <si>
    <t>stage.m</t>
    <phoneticPr fontId="2" type="noConversion"/>
  </si>
  <si>
    <t>n.region</t>
  </si>
  <si>
    <t>n.station</t>
  </si>
  <si>
    <t>c.stage_number</t>
    <phoneticPr fontId="2" type="noConversion"/>
  </si>
  <si>
    <t>clin.stage</t>
  </si>
  <si>
    <t>c.stage</t>
    <phoneticPr fontId="2" type="noConversion"/>
  </si>
  <si>
    <t>clin.n</t>
    <phoneticPr fontId="2" type="noConversion"/>
  </si>
  <si>
    <t>clin.t</t>
    <phoneticPr fontId="2" type="noConversion"/>
  </si>
  <si>
    <t>clin.text</t>
  </si>
  <si>
    <t>subsite_lower</t>
    <phoneticPr fontId="2" type="noConversion"/>
  </si>
  <si>
    <t>subsite_middle</t>
    <phoneticPr fontId="2" type="noConversion"/>
  </si>
  <si>
    <t>subsite_upper</t>
    <phoneticPr fontId="2" type="noConversion"/>
  </si>
  <si>
    <t>subsite</t>
    <phoneticPr fontId="0" type="noConversion"/>
  </si>
  <si>
    <t>ui.text</t>
  </si>
  <si>
    <t>aim</t>
  </si>
  <si>
    <t>diff_number</t>
    <phoneticPr fontId="2" type="noConversion"/>
  </si>
  <si>
    <t>diff</t>
    <phoneticPr fontId="0" type="noConversion"/>
  </si>
  <si>
    <t>path</t>
  </si>
  <si>
    <t>ecog</t>
  </si>
  <si>
    <t>sex</t>
    <phoneticPr fontId="2" type="noConversion"/>
  </si>
  <si>
    <t>dob</t>
  </si>
  <si>
    <t>date.dx</t>
  </si>
  <si>
    <t>base.fu</t>
  </si>
  <si>
    <t>Hospital</t>
    <phoneticPr fontId="2" type="noConversion"/>
  </si>
  <si>
    <t>Pathol_available</t>
    <phoneticPr fontId="2" type="noConversion"/>
  </si>
  <si>
    <t>Ineligible_2019</t>
    <phoneticPr fontId="2" type="noConversion"/>
  </si>
  <si>
    <t>Ineligible</t>
    <phoneticPr fontId="2" type="noConversion"/>
  </si>
  <si>
    <t>pt_no</t>
  </si>
  <si>
    <t>name</t>
  </si>
  <si>
    <t>sort1</t>
  </si>
  <si>
    <t>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</si>
</sst>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00_ "/>
    <numFmt numFmtId="177" formatCode="0_ "/>
    <numFmt numFmtId="178" formatCode="0.00_);[Red]\(0.00\)"/>
    <numFmt numFmtId="179" formatCode="0_);[Red]\(0\)"/>
    <numFmt numFmtId="180" formatCode="0.0000_);[Red]\(0.0000\)"/>
  </numFmts>
  <fonts count="19">
    <font>
      <sz val="11"/>
      <color theme="1"/>
      <name val="맑은 고딕"/>
      <family val="2"/>
      <charset val="129"/>
      <scheme val="minor"/>
    </font>
    <font>
      <sz val="10"/>
      <color theme="1"/>
      <name val="Arial"/>
      <family val="2"/>
    </font>
    <font>
      <sz val="8"/>
      <name val="맑은 고딕"/>
      <family val="2"/>
      <charset val="129"/>
      <scheme val="minor"/>
    </font>
    <font>
      <sz val="10"/>
      <color theme="1"/>
      <name val="돋움"/>
      <family val="3"/>
      <charset val="129"/>
    </font>
    <font>
      <sz val="10"/>
      <name val="Arial"/>
      <family val="2"/>
    </font>
    <font>
      <i/>
      <sz val="10"/>
      <color theme="1"/>
      <name val="돋움"/>
      <family val="3"/>
      <charset val="129"/>
    </font>
    <font>
      <sz val="10"/>
      <color theme="1"/>
      <name val="맑은 고딕"/>
      <family val="2"/>
      <charset val="129"/>
      <scheme val="minor"/>
    </font>
    <font>
      <sz val="10"/>
      <name val="돋움"/>
      <family val="3"/>
      <charset val="129"/>
    </font>
    <font>
      <sz val="10"/>
      <color theme="1"/>
      <name val="맑은 고딕"/>
      <family val="3"/>
      <charset val="129"/>
      <scheme val="minor"/>
    </font>
    <font>
      <b/>
      <sz val="9"/>
      <color indexed="81"/>
      <name val="Tahoma"/>
      <family val="2"/>
    </font>
    <font>
      <b/>
      <sz val="9"/>
      <color indexed="81"/>
      <name val="돋움"/>
      <family val="3"/>
      <charset val="129"/>
    </font>
    <font>
      <sz val="9"/>
      <color indexed="81"/>
      <name val="Tahoma"/>
      <family val="2"/>
    </font>
    <font>
      <sz val="9"/>
      <color indexed="81"/>
      <name val="돋움"/>
      <family val="3"/>
      <charset val="129"/>
    </font>
    <font>
      <b/>
      <sz val="10"/>
      <color rgb="FF000000"/>
      <name val="Malgun Gothic"/>
      <family val="2"/>
      <charset val="129"/>
    </font>
    <font>
      <sz val="10"/>
      <color rgb="FF000000"/>
      <name val="Malgun Gothic"/>
      <family val="2"/>
      <charset val="129"/>
    </font>
    <font>
      <b/>
      <sz val="9"/>
      <color rgb="FF000000"/>
      <name val="Tahoma"/>
      <family val="2"/>
    </font>
    <font>
      <sz val="9"/>
      <color rgb="FF000000"/>
      <name val="Tahoma"/>
      <family val="2"/>
    </font>
    <font>
      <b/>
      <sz val="9"/>
      <color rgb="FF000000"/>
      <name val="돋움"/>
      <family val="2"/>
      <charset val="129"/>
    </font>
    <font>
      <sz val="9"/>
      <color rgb="FF000000"/>
      <name val="돋움"/>
      <family val="2"/>
      <charset val="129"/>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horizontal="left" vertical="center"/>
    </xf>
    <xf numFmtId="176" fontId="1" fillId="0" borderId="0" xfId="0" applyNumberFormat="1" applyFont="1" applyAlignment="1">
      <alignment horizontal="left" vertical="center"/>
    </xf>
    <xf numFmtId="14" fontId="1" fillId="0" borderId="0" xfId="0" applyNumberFormat="1" applyFont="1" applyAlignment="1">
      <alignment horizontal="left" vertical="center"/>
    </xf>
    <xf numFmtId="177" fontId="1" fillId="0" borderId="0" xfId="0" applyNumberFormat="1" applyFont="1" applyAlignment="1">
      <alignment horizontal="left" vertical="center"/>
    </xf>
    <xf numFmtId="178" fontId="1" fillId="0" borderId="0" xfId="0" applyNumberFormat="1" applyFont="1" applyAlignment="1">
      <alignment horizontal="left" vertical="center"/>
    </xf>
    <xf numFmtId="49" fontId="1" fillId="0" borderId="0" xfId="0" applyNumberFormat="1" applyFont="1" applyAlignment="1">
      <alignment horizontal="left" vertical="center"/>
    </xf>
    <xf numFmtId="179" fontId="1" fillId="0" borderId="0" xfId="0" applyNumberFormat="1" applyFont="1" applyAlignment="1">
      <alignment horizontal="left" vertical="center"/>
    </xf>
    <xf numFmtId="180" fontId="1" fillId="0" borderId="0" xfId="0" applyNumberFormat="1" applyFont="1" applyAlignment="1">
      <alignment horizontal="left" vertical="center"/>
    </xf>
    <xf numFmtId="0" fontId="3" fillId="0" borderId="0" xfId="0" applyFont="1" applyAlignment="1">
      <alignment horizontal="left" vertical="center"/>
    </xf>
    <xf numFmtId="180" fontId="4" fillId="0" borderId="0" xfId="0" applyNumberFormat="1" applyFont="1" applyAlignment="1">
      <alignment horizontal="left" vertical="center" wrapText="1"/>
    </xf>
    <xf numFmtId="14" fontId="4" fillId="0" borderId="0" xfId="0" applyNumberFormat="1" applyFont="1" applyAlignment="1">
      <alignment horizontal="left" vertical="center" wrapText="1"/>
    </xf>
    <xf numFmtId="0" fontId="4" fillId="0" borderId="0" xfId="0" applyFont="1" applyAlignment="1">
      <alignment horizontal="left" vertical="center" wrapText="1"/>
    </xf>
    <xf numFmtId="176" fontId="4" fillId="0" borderId="0" xfId="0" applyNumberFormat="1" applyFont="1" applyAlignment="1">
      <alignment horizontal="left" vertical="center" wrapText="1"/>
    </xf>
    <xf numFmtId="177" fontId="4" fillId="0" borderId="0" xfId="0" applyNumberFormat="1" applyFont="1" applyAlignment="1">
      <alignment horizontal="left" vertical="center" wrapText="1"/>
    </xf>
    <xf numFmtId="0" fontId="5" fillId="0" borderId="0" xfId="0" applyFont="1" applyAlignment="1">
      <alignment horizontal="left" vertical="center"/>
    </xf>
    <xf numFmtId="179" fontId="4" fillId="0" borderId="0" xfId="0" applyNumberFormat="1" applyFont="1" applyAlignment="1">
      <alignment horizontal="left" vertical="center" wrapText="1"/>
    </xf>
    <xf numFmtId="0" fontId="1" fillId="0" borderId="0" xfId="0" applyFont="1" applyAlignment="1">
      <alignment horizontal="left"/>
    </xf>
    <xf numFmtId="14" fontId="6" fillId="0" borderId="0" xfId="0" applyNumberFormat="1" applyFont="1" applyAlignment="1">
      <alignment horizontal="center" vertical="center"/>
    </xf>
    <xf numFmtId="49" fontId="4" fillId="0" borderId="0" xfId="0" applyNumberFormat="1" applyFont="1" applyAlignment="1">
      <alignment horizontal="left" vertical="center" wrapText="1"/>
    </xf>
    <xf numFmtId="178" fontId="4" fillId="0" borderId="0" xfId="0" applyNumberFormat="1" applyFont="1" applyAlignment="1">
      <alignment horizontal="left" vertical="center" wrapText="1"/>
    </xf>
    <xf numFmtId="0" fontId="4" fillId="0" borderId="0" xfId="0" applyFont="1" applyAlignment="1">
      <alignment horizontal="left" vertical="center"/>
    </xf>
    <xf numFmtId="14" fontId="0" fillId="0" borderId="0" xfId="0" applyNumberFormat="1" applyAlignment="1">
      <alignment vertical="center"/>
    </xf>
    <xf numFmtId="0" fontId="1" fillId="0" borderId="0" xfId="0" quotePrefix="1" applyFont="1" applyAlignment="1">
      <alignment horizontal="left" vertical="center"/>
    </xf>
    <xf numFmtId="0" fontId="6" fillId="0" borderId="0" xfId="0" applyFont="1" applyAlignment="1">
      <alignment vertical="center"/>
    </xf>
    <xf numFmtId="0" fontId="8" fillId="0" borderId="0" xfId="0" applyFont="1" applyAlignment="1">
      <alignment horizontal="center" vertical="center"/>
    </xf>
    <xf numFmtId="0" fontId="1" fillId="0" borderId="0" xfId="0" applyFont="1" applyAlignment="1">
      <alignment horizontal="left" vertical="center" wrapText="1"/>
    </xf>
    <xf numFmtId="0" fontId="1" fillId="2" borderId="0" xfId="0" applyFont="1" applyFill="1" applyAlignment="1">
      <alignment horizontal="left" vertical="center"/>
    </xf>
    <xf numFmtId="0" fontId="4" fillId="2" borderId="0" xfId="0" applyFont="1" applyFill="1" applyAlignment="1">
      <alignment horizontal="left" vertical="center" wrapText="1"/>
    </xf>
    <xf numFmtId="49" fontId="1" fillId="0" borderId="0" xfId="0" applyNumberFormat="1" applyFont="1" applyAlignment="1">
      <alignment horizontal="left" vertical="center" wrapText="1"/>
    </xf>
    <xf numFmtId="14" fontId="6" fillId="0" borderId="0" xfId="0" applyNumberFormat="1" applyFont="1" applyAlignment="1">
      <alignment vertical="center"/>
    </xf>
    <xf numFmtId="0" fontId="7" fillId="0" borderId="0" xfId="0" applyFont="1" applyAlignment="1">
      <alignment horizontal="left" vertical="center" wrapText="1"/>
    </xf>
    <xf numFmtId="0" fontId="4" fillId="0" borderId="0" xfId="0" quotePrefix="1" applyFont="1" applyAlignment="1">
      <alignment horizontal="left" vertical="center" wrapText="1"/>
    </xf>
    <xf numFmtId="176" fontId="1" fillId="0" borderId="0" xfId="0" applyNumberFormat="1" applyFont="1" applyAlignment="1">
      <alignment horizontal="left" vertical="center" wrapText="1"/>
    </xf>
    <xf numFmtId="14" fontId="1" fillId="0" borderId="0" xfId="0" applyNumberFormat="1" applyFont="1" applyAlignment="1">
      <alignment horizontal="left" vertical="center" wrapText="1"/>
    </xf>
    <xf numFmtId="177" fontId="1" fillId="0" borderId="0" xfId="0" applyNumberFormat="1" applyFont="1" applyAlignment="1">
      <alignment horizontal="left" vertical="center" wrapText="1"/>
    </xf>
    <xf numFmtId="178" fontId="1" fillId="0" borderId="0" xfId="0" applyNumberFormat="1" applyFont="1" applyAlignment="1">
      <alignment horizontal="left" vertical="center" wrapText="1"/>
    </xf>
    <xf numFmtId="179" fontId="1" fillId="0" borderId="0" xfId="0" applyNumberFormat="1" applyFont="1" applyAlignment="1">
      <alignment horizontal="left" vertical="center" wrapText="1"/>
    </xf>
    <xf numFmtId="180" fontId="1" fillId="0" borderId="0" xfId="0" applyNumberFormat="1" applyFont="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GH254"/>
  <sheetViews>
    <sheetView tabSelected="1" zoomScaleNormal="100" workbookViewId="0">
      <pane xSplit="3" ySplit="1" topLeftCell="D2" activePane="bottomRight" state="frozen"/>
      <selection pane="topRight" activeCell="D1" sqref="D1"/>
      <selection pane="bottomLeft" activeCell="A2" sqref="A2"/>
      <selection pane="bottomRight" activeCell="H77" sqref="H77"/>
    </sheetView>
  </sheetViews>
  <sheetFormatPr defaultColWidth="9" defaultRowHeight="12.75" customHeight="1"/>
  <cols>
    <col min="1" max="1" width="10.375" style="1" customWidth="1"/>
    <col min="2" max="2" width="8.125" style="1" customWidth="1"/>
    <col min="3" max="3" width="10.125" style="1" customWidth="1"/>
    <col min="4" max="6" width="4.625" style="1" customWidth="1"/>
    <col min="7" max="7" width="5.375" style="1" customWidth="1"/>
    <col min="8" max="8" width="21.5" style="1" customWidth="1"/>
    <col min="9" max="9" width="11.125" style="3" customWidth="1"/>
    <col min="10" max="10" width="10.625" style="3" customWidth="1"/>
    <col min="11" max="11" width="10.125" style="3" customWidth="1"/>
    <col min="12" max="12" width="6.125" style="5" customWidth="1"/>
    <col min="13" max="14" width="5.125" style="1" customWidth="1"/>
    <col min="15" max="15" width="5.625" style="1" customWidth="1"/>
    <col min="16" max="16" width="6.125" style="1" customWidth="1"/>
    <col min="17" max="17" width="5.375" style="1" customWidth="1"/>
    <col min="18" max="18" width="9.375" style="1" customWidth="1"/>
    <col min="19" max="19" width="13.625" style="1" customWidth="1"/>
    <col min="20" max="20" width="12.375" style="1" customWidth="1"/>
    <col min="21" max="21" width="6.875" style="1" customWidth="1"/>
    <col min="22" max="22" width="7.5" style="1" customWidth="1"/>
    <col min="23" max="23" width="6.375" style="1" customWidth="1"/>
    <col min="24" max="24" width="19.625" style="1" customWidth="1"/>
    <col min="25" max="25" width="7.875" style="1" customWidth="1"/>
    <col min="26" max="27" width="7.625" style="1" customWidth="1"/>
    <col min="28" max="28" width="11.125" style="1" hidden="1" customWidth="1"/>
    <col min="29" max="29" width="5.625" style="1" customWidth="1"/>
    <col min="30" max="30" width="25.125" style="1" customWidth="1"/>
    <col min="31" max="31" width="10.125" style="1" customWidth="1"/>
    <col min="32" max="32" width="6.125" style="1" customWidth="1"/>
    <col min="33" max="33" width="6.375" style="1" customWidth="1"/>
    <col min="34" max="34" width="6.125" style="1" customWidth="1"/>
    <col min="35" max="36" width="11.875" style="3" customWidth="1"/>
    <col min="37" max="37" width="11.625" style="6" hidden="1" customWidth="1"/>
    <col min="38" max="38" width="13.5" style="6" hidden="1" customWidth="1"/>
    <col min="39" max="39" width="6.125" style="6" hidden="1" customWidth="1"/>
    <col min="40" max="40" width="6" style="6" hidden="1" customWidth="1"/>
    <col min="41" max="41" width="6.125" style="6" hidden="1" customWidth="1"/>
    <col min="42" max="42" width="6.375" style="6" hidden="1" customWidth="1"/>
    <col min="43" max="46" width="5.625" style="6" hidden="1" customWidth="1"/>
    <col min="47" max="47" width="6.375" style="6" hidden="1" customWidth="1"/>
    <col min="48" max="49" width="7.125" style="6" hidden="1" customWidth="1"/>
    <col min="50" max="50" width="6.875" style="6" hidden="1" customWidth="1"/>
    <col min="51" max="51" width="6.375" style="6" hidden="1" customWidth="1"/>
    <col min="52" max="52" width="6.125" style="6" hidden="1" customWidth="1"/>
    <col min="53" max="53" width="6.375" style="1" customWidth="1"/>
    <col min="54" max="57" width="6.375" style="1" hidden="1" customWidth="1"/>
    <col min="58" max="58" width="26.625" style="1" hidden="1" customWidth="1"/>
    <col min="59" max="59" width="9.625" style="1" customWidth="1"/>
    <col min="60" max="60" width="7.125" style="1" customWidth="1"/>
    <col min="61" max="61" width="7.375" style="1" customWidth="1"/>
    <col min="62" max="62" width="6.625" style="1" customWidth="1"/>
    <col min="63" max="63" width="9.125" style="1" customWidth="1"/>
    <col min="64" max="64" width="8.125" style="1" customWidth="1"/>
    <col min="65" max="65" width="10" style="1" customWidth="1"/>
    <col min="66" max="66" width="7.125" style="1" customWidth="1"/>
    <col min="67" max="67" width="6.375" style="1" customWidth="1"/>
    <col min="68" max="68" width="8.875" style="1" customWidth="1"/>
    <col min="69" max="69" width="7.125" style="1" customWidth="1"/>
    <col min="70" max="70" width="12.375" style="1" customWidth="1"/>
    <col min="71" max="71" width="6.375" style="1" customWidth="1"/>
    <col min="72" max="72" width="9.625" style="1" customWidth="1"/>
    <col min="73" max="74" width="7.125" style="1" customWidth="1"/>
    <col min="75" max="75" width="8.375" style="1" hidden="1" customWidth="1"/>
    <col min="76" max="76" width="7.625" style="1" hidden="1" customWidth="1"/>
    <col min="77" max="77" width="8.125" style="1" hidden="1" customWidth="1"/>
    <col min="78" max="78" width="7.875" style="1" hidden="1" customWidth="1"/>
    <col min="79" max="79" width="6.375" style="1" hidden="1" customWidth="1"/>
    <col min="80" max="80" width="8" style="1" hidden="1" customWidth="1"/>
    <col min="81" max="81" width="8.125" style="1" hidden="1" customWidth="1"/>
    <col min="82" max="82" width="7.5" style="1" hidden="1" customWidth="1"/>
    <col min="83" max="83" width="4.875" style="1" customWidth="1"/>
    <col min="84" max="84" width="11.125" style="1" customWidth="1"/>
    <col min="85" max="85" width="7.375" style="7" customWidth="1"/>
    <col min="86" max="86" width="24" style="1" customWidth="1"/>
    <col min="87" max="87" width="10.625" style="1" customWidth="1"/>
    <col min="88" max="88" width="11.625" style="1" customWidth="1"/>
    <col min="89" max="89" width="12.125" style="1" customWidth="1"/>
    <col min="90" max="90" width="6.875" style="1" customWidth="1"/>
    <col min="91" max="92" width="5.625" style="1" customWidth="1"/>
    <col min="93" max="93" width="24.625" style="1" customWidth="1"/>
    <col min="94" max="94" width="9.625" style="1" customWidth="1"/>
    <col min="95" max="95" width="19.125" style="1" customWidth="1"/>
    <col min="96" max="96" width="6.375" style="1" customWidth="1"/>
    <col min="97" max="97" width="11.375" style="1" customWidth="1"/>
    <col min="98" max="98" width="11.625" style="1" customWidth="1"/>
    <col min="99" max="99" width="11.125" style="1" customWidth="1"/>
    <col min="100" max="101" width="6.375" style="1" customWidth="1"/>
    <col min="102" max="102" width="7.125" style="1" customWidth="1"/>
    <col min="103" max="103" width="6.125" style="1" customWidth="1"/>
    <col min="104" max="104" width="5.875" style="1" customWidth="1"/>
    <col min="105" max="105" width="6.125" style="1" customWidth="1"/>
    <col min="106" max="106" width="6.875" style="2" customWidth="1"/>
    <col min="107" max="107" width="5.625" style="1" customWidth="1"/>
    <col min="108" max="108" width="5.5" style="1" customWidth="1"/>
    <col min="109" max="109" width="6.125" style="1" customWidth="1"/>
    <col min="110" max="110" width="6" style="1" customWidth="1"/>
    <col min="111" max="111" width="11.125" style="1" customWidth="1"/>
    <col min="112" max="112" width="7.125" style="7" customWidth="1"/>
    <col min="113" max="113" width="8.5" style="7" customWidth="1"/>
    <col min="114" max="114" width="12.125" style="3" customWidth="1"/>
    <col min="115" max="115" width="12.875" style="1" customWidth="1"/>
    <col min="116" max="116" width="10.625" style="1" customWidth="1"/>
    <col min="117" max="117" width="8.875" style="1" customWidth="1"/>
    <col min="118" max="118" width="26.875" style="1" customWidth="1"/>
    <col min="119" max="119" width="12" style="1" customWidth="1"/>
    <col min="120" max="120" width="13.375" style="6" customWidth="1"/>
    <col min="121" max="121" width="6.375" style="7" customWidth="1"/>
    <col min="122" max="122" width="10.625" style="3" customWidth="1"/>
    <col min="123" max="123" width="10.625" style="8" customWidth="1"/>
    <col min="124" max="124" width="7.375" style="7" customWidth="1"/>
    <col min="125" max="125" width="7.625" style="7" customWidth="1"/>
    <col min="126" max="126" width="6.375" style="7" customWidth="1"/>
    <col min="127" max="129" width="7.625" style="7" customWidth="1"/>
    <col min="130" max="131" width="10.5" style="3" customWidth="1"/>
    <col min="132" max="132" width="6.125" style="7" customWidth="1"/>
    <col min="133" max="133" width="5.625" style="7" customWidth="1"/>
    <col min="134" max="134" width="6.375" style="7" customWidth="1"/>
    <col min="135" max="135" width="11" style="3" customWidth="1"/>
    <col min="136" max="136" width="12" style="1" customWidth="1"/>
    <col min="137" max="137" width="7.125" style="7" customWidth="1"/>
    <col min="138" max="138" width="12" style="1" customWidth="1"/>
    <col min="139" max="139" width="6.375" style="1" customWidth="1"/>
    <col min="140" max="140" width="6.375" style="7" customWidth="1"/>
    <col min="141" max="141" width="12" style="1" customWidth="1"/>
    <col min="142" max="142" width="9.875" style="1" customWidth="1"/>
    <col min="143" max="143" width="13.625" style="1" customWidth="1"/>
    <col min="144" max="144" width="4.625" style="7" customWidth="1"/>
    <col min="145" max="147" width="5.125" style="7" customWidth="1"/>
    <col min="148" max="148" width="4.125" style="7" customWidth="1"/>
    <col min="149" max="149" width="5.125" style="7" customWidth="1"/>
    <col min="150" max="150" width="4.125" style="7" customWidth="1"/>
    <col min="151" max="153" width="5.125" style="7" customWidth="1"/>
    <col min="154" max="157" width="4.625" style="7" customWidth="1"/>
    <col min="158" max="158" width="9" style="1" customWidth="1"/>
    <col min="159" max="159" width="8.125" style="6" customWidth="1"/>
    <col min="160" max="160" width="9.125" style="1" customWidth="1"/>
    <col min="161" max="161" width="12.875" style="1" customWidth="1"/>
    <col min="162" max="163" width="10.875" style="1" customWidth="1"/>
    <col min="164" max="164" width="10.375" style="2" customWidth="1"/>
    <col min="165" max="165" width="10.375" style="5" customWidth="1"/>
    <col min="166" max="166" width="7.5" style="4" customWidth="1"/>
    <col min="167" max="167" width="10.375" style="3" customWidth="1"/>
    <col min="168" max="168" width="8.625" style="2" customWidth="1"/>
    <col min="169" max="169" width="6.875" style="2" customWidth="1"/>
    <col min="170" max="170" width="10.375" style="3" customWidth="1"/>
    <col min="171" max="171" width="8.625" style="2" customWidth="1"/>
    <col min="172" max="172" width="6.875" style="2" customWidth="1"/>
    <col min="173" max="173" width="11.875" style="2" customWidth="1"/>
    <col min="174" max="174" width="10.375" style="2" customWidth="1"/>
    <col min="175" max="175" width="10.125" style="1" customWidth="1"/>
    <col min="176" max="176" width="10" style="1" customWidth="1"/>
    <col min="177" max="178" width="11" style="1" customWidth="1"/>
    <col min="179" max="179" width="10.125" style="1" customWidth="1"/>
    <col min="180" max="180" width="9" style="1" customWidth="1"/>
    <col min="181" max="181" width="41.625" style="1" customWidth="1"/>
    <col min="182" max="182" width="12.875" style="1" customWidth="1"/>
    <col min="183" max="16384" width="9" style="1"/>
  </cols>
  <sheetData>
    <row r="1" spans="1:190" ht="12.75" customHeight="1">
      <c r="A1" s="1" t="s">
        <v>2529</v>
      </c>
      <c r="B1" s="26" t="s">
        <v>2528</v>
      </c>
      <c r="C1" s="26" t="s">
        <v>2527</v>
      </c>
      <c r="D1" s="26" t="s">
        <v>2526</v>
      </c>
      <c r="E1" s="26" t="s">
        <v>2525</v>
      </c>
      <c r="F1" s="26" t="s">
        <v>2524</v>
      </c>
      <c r="G1" s="26" t="s">
        <v>2523</v>
      </c>
      <c r="H1" s="1" t="s">
        <v>2351</v>
      </c>
      <c r="I1" s="34" t="s">
        <v>2522</v>
      </c>
      <c r="J1" s="34" t="s">
        <v>2521</v>
      </c>
      <c r="K1" s="34" t="s">
        <v>2520</v>
      </c>
      <c r="L1" s="36" t="s">
        <v>2530</v>
      </c>
      <c r="M1" s="26" t="s">
        <v>2519</v>
      </c>
      <c r="N1" s="26" t="s">
        <v>2518</v>
      </c>
      <c r="O1" s="26" t="s">
        <v>2517</v>
      </c>
      <c r="P1" s="26" t="s">
        <v>2516</v>
      </c>
      <c r="Q1" s="26" t="s">
        <v>2515</v>
      </c>
      <c r="R1" s="26" t="s">
        <v>2514</v>
      </c>
      <c r="S1" s="26" t="s">
        <v>2513</v>
      </c>
      <c r="T1" s="26" t="s">
        <v>2512</v>
      </c>
      <c r="U1" s="26" t="s">
        <v>2511</v>
      </c>
      <c r="V1" s="26" t="s">
        <v>2510</v>
      </c>
      <c r="W1" s="26" t="s">
        <v>2509</v>
      </c>
      <c r="X1" s="26" t="s">
        <v>2508</v>
      </c>
      <c r="Y1" s="26" t="s">
        <v>2507</v>
      </c>
      <c r="Z1" s="26" t="s">
        <v>2506</v>
      </c>
      <c r="AA1" s="26" t="s">
        <v>2505</v>
      </c>
      <c r="AB1" s="26" t="s">
        <v>2504</v>
      </c>
      <c r="AC1" s="26" t="s">
        <v>2503</v>
      </c>
      <c r="AD1" s="26" t="s">
        <v>2502</v>
      </c>
      <c r="AE1" s="26" t="s">
        <v>2501</v>
      </c>
      <c r="AF1" s="26" t="s">
        <v>2500</v>
      </c>
      <c r="AG1" s="26" t="s">
        <v>2499</v>
      </c>
      <c r="AH1" s="26" t="s">
        <v>2498</v>
      </c>
      <c r="AI1" s="34" t="s">
        <v>2497</v>
      </c>
      <c r="AJ1" s="34" t="s">
        <v>2496</v>
      </c>
      <c r="AK1" s="29" t="s">
        <v>2495</v>
      </c>
      <c r="AL1" s="29" t="s">
        <v>2494</v>
      </c>
      <c r="AM1" s="29" t="s">
        <v>2493</v>
      </c>
      <c r="AN1" s="29" t="s">
        <v>2492</v>
      </c>
      <c r="AO1" s="29" t="s">
        <v>2491</v>
      </c>
      <c r="AP1" s="29" t="s">
        <v>2490</v>
      </c>
      <c r="AQ1" s="29" t="s">
        <v>2489</v>
      </c>
      <c r="AR1" s="29" t="s">
        <v>2488</v>
      </c>
      <c r="AS1" s="29" t="s">
        <v>2487</v>
      </c>
      <c r="AT1" s="29" t="s">
        <v>2486</v>
      </c>
      <c r="AU1" s="29" t="s">
        <v>2485</v>
      </c>
      <c r="AV1" s="29" t="s">
        <v>2484</v>
      </c>
      <c r="AW1" s="29" t="s">
        <v>2483</v>
      </c>
      <c r="AX1" s="29" t="s">
        <v>2482</v>
      </c>
      <c r="AY1" s="29" t="s">
        <v>2481</v>
      </c>
      <c r="AZ1" s="29" t="s">
        <v>2480</v>
      </c>
      <c r="BA1" s="26" t="s">
        <v>2479</v>
      </c>
      <c r="BB1" s="26" t="s">
        <v>2478</v>
      </c>
      <c r="BC1" s="26" t="s">
        <v>2477</v>
      </c>
      <c r="BD1" s="26" t="s">
        <v>2476</v>
      </c>
      <c r="BE1" s="26" t="s">
        <v>2475</v>
      </c>
      <c r="BF1" s="26" t="s">
        <v>2474</v>
      </c>
      <c r="BG1" s="26" t="s">
        <v>2473</v>
      </c>
      <c r="BH1" s="26" t="s">
        <v>2472</v>
      </c>
      <c r="BI1" s="26" t="s">
        <v>2471</v>
      </c>
      <c r="BJ1" s="26" t="s">
        <v>2470</v>
      </c>
      <c r="BK1" s="26" t="s">
        <v>2469</v>
      </c>
      <c r="BL1" s="26" t="s">
        <v>2468</v>
      </c>
      <c r="BM1" s="26" t="s">
        <v>2467</v>
      </c>
      <c r="BN1" s="26" t="s">
        <v>2466</v>
      </c>
      <c r="BO1" s="26" t="s">
        <v>2465</v>
      </c>
      <c r="BP1" s="26" t="s">
        <v>2464</v>
      </c>
      <c r="BQ1" s="26" t="s">
        <v>2463</v>
      </c>
      <c r="BR1" s="26" t="s">
        <v>2462</v>
      </c>
      <c r="BS1" s="26" t="s">
        <v>2461</v>
      </c>
      <c r="BT1" s="26" t="s">
        <v>2460</v>
      </c>
      <c r="BU1" s="26" t="s">
        <v>2459</v>
      </c>
      <c r="BV1" s="26" t="s">
        <v>2458</v>
      </c>
      <c r="BW1" s="26" t="s">
        <v>2457</v>
      </c>
      <c r="BX1" s="26" t="s">
        <v>2456</v>
      </c>
      <c r="BY1" s="26" t="s">
        <v>2455</v>
      </c>
      <c r="BZ1" s="26" t="s">
        <v>2454</v>
      </c>
      <c r="CA1" s="26" t="s">
        <v>2453</v>
      </c>
      <c r="CB1" s="26" t="s">
        <v>2452</v>
      </c>
      <c r="CC1" s="26" t="s">
        <v>2451</v>
      </c>
      <c r="CD1" s="26" t="s">
        <v>2450</v>
      </c>
      <c r="CE1" s="26" t="s">
        <v>2449</v>
      </c>
      <c r="CF1" s="26" t="s">
        <v>2448</v>
      </c>
      <c r="CG1" s="37" t="s">
        <v>2447</v>
      </c>
      <c r="CH1" s="26" t="s">
        <v>2446</v>
      </c>
      <c r="CI1" s="26" t="s">
        <v>2445</v>
      </c>
      <c r="CJ1" s="26" t="s">
        <v>2444</v>
      </c>
      <c r="CK1" s="26" t="s">
        <v>2443</v>
      </c>
      <c r="CL1" s="26" t="s">
        <v>2442</v>
      </c>
      <c r="CM1" s="26" t="s">
        <v>2441</v>
      </c>
      <c r="CN1" s="26" t="s">
        <v>2440</v>
      </c>
      <c r="CO1" s="26" t="s">
        <v>2439</v>
      </c>
      <c r="CP1" s="26" t="s">
        <v>2438</v>
      </c>
      <c r="CQ1" s="26" t="s">
        <v>2437</v>
      </c>
      <c r="CR1" s="26" t="s">
        <v>2436</v>
      </c>
      <c r="CS1" s="26" t="s">
        <v>2435</v>
      </c>
      <c r="CT1" s="26" t="s">
        <v>2434</v>
      </c>
      <c r="CU1" s="26" t="s">
        <v>2433</v>
      </c>
      <c r="CV1" s="26" t="s">
        <v>2432</v>
      </c>
      <c r="CW1" s="26" t="s">
        <v>2431</v>
      </c>
      <c r="CX1" s="26" t="s">
        <v>2430</v>
      </c>
      <c r="CY1" s="26" t="s">
        <v>2429</v>
      </c>
      <c r="CZ1" s="26" t="s">
        <v>2428</v>
      </c>
      <c r="DA1" s="26" t="s">
        <v>2427</v>
      </c>
      <c r="DB1" s="33" t="s">
        <v>2426</v>
      </c>
      <c r="DC1" s="26" t="s">
        <v>2425</v>
      </c>
      <c r="DD1" s="26" t="s">
        <v>2424</v>
      </c>
      <c r="DE1" s="26" t="s">
        <v>2423</v>
      </c>
      <c r="DF1" s="26" t="s">
        <v>2422</v>
      </c>
      <c r="DG1" s="26" t="s">
        <v>2421</v>
      </c>
      <c r="DH1" s="37" t="s">
        <v>2420</v>
      </c>
      <c r="DI1" s="37" t="s">
        <v>2419</v>
      </c>
      <c r="DJ1" s="34" t="s">
        <v>2418</v>
      </c>
      <c r="DK1" s="26" t="s">
        <v>2417</v>
      </c>
      <c r="DL1" s="26" t="s">
        <v>2416</v>
      </c>
      <c r="DM1" s="26" t="s">
        <v>2415</v>
      </c>
      <c r="DN1" s="26" t="s">
        <v>2414</v>
      </c>
      <c r="DO1" s="26" t="s">
        <v>2413</v>
      </c>
      <c r="DP1" s="29" t="s">
        <v>2412</v>
      </c>
      <c r="DQ1" s="37" t="s">
        <v>2411</v>
      </c>
      <c r="DR1" s="34" t="s">
        <v>2410</v>
      </c>
      <c r="DS1" s="38" t="s">
        <v>2409</v>
      </c>
      <c r="DT1" s="37" t="s">
        <v>2408</v>
      </c>
      <c r="DU1" s="37" t="s">
        <v>2407</v>
      </c>
      <c r="DV1" s="37" t="s">
        <v>2406</v>
      </c>
      <c r="DW1" s="37" t="s">
        <v>2405</v>
      </c>
      <c r="DX1" s="37" t="s">
        <v>2404</v>
      </c>
      <c r="DY1" s="37" t="s">
        <v>2403</v>
      </c>
      <c r="DZ1" s="34" t="s">
        <v>2402</v>
      </c>
      <c r="EA1" s="34" t="s">
        <v>2401</v>
      </c>
      <c r="EB1" s="37" t="s">
        <v>2400</v>
      </c>
      <c r="EC1" s="37" t="s">
        <v>2399</v>
      </c>
      <c r="ED1" s="37" t="s">
        <v>2398</v>
      </c>
      <c r="EE1" s="34" t="s">
        <v>2397</v>
      </c>
      <c r="EF1" s="26" t="s">
        <v>2396</v>
      </c>
      <c r="EG1" s="37" t="s">
        <v>2395</v>
      </c>
      <c r="EH1" s="26" t="s">
        <v>2394</v>
      </c>
      <c r="EI1" s="26" t="s">
        <v>2393</v>
      </c>
      <c r="EJ1" s="37" t="s">
        <v>2392</v>
      </c>
      <c r="EK1" s="26" t="s">
        <v>2391</v>
      </c>
      <c r="EL1" s="26" t="s">
        <v>2390</v>
      </c>
      <c r="EM1" s="26" t="s">
        <v>2389</v>
      </c>
      <c r="EN1" s="37" t="s">
        <v>2388</v>
      </c>
      <c r="EO1" s="37" t="s">
        <v>2387</v>
      </c>
      <c r="EP1" s="37" t="s">
        <v>2386</v>
      </c>
      <c r="EQ1" s="37" t="s">
        <v>2385</v>
      </c>
      <c r="ER1" s="37" t="s">
        <v>2384</v>
      </c>
      <c r="ES1" s="37" t="s">
        <v>2383</v>
      </c>
      <c r="ET1" s="37" t="s">
        <v>2382</v>
      </c>
      <c r="EU1" s="37" t="s">
        <v>2381</v>
      </c>
      <c r="EV1" s="37" t="s">
        <v>2380</v>
      </c>
      <c r="EW1" s="37" t="s">
        <v>2379</v>
      </c>
      <c r="EX1" s="37" t="s">
        <v>2378</v>
      </c>
      <c r="EY1" s="37" t="s">
        <v>2377</v>
      </c>
      <c r="EZ1" s="37" t="s">
        <v>2376</v>
      </c>
      <c r="FA1" s="37" t="s">
        <v>2375</v>
      </c>
      <c r="FB1" s="26" t="s">
        <v>2374</v>
      </c>
      <c r="FC1" s="29" t="s">
        <v>2373</v>
      </c>
      <c r="FD1" s="26" t="s">
        <v>2372</v>
      </c>
      <c r="FE1" s="26" t="s">
        <v>2371</v>
      </c>
      <c r="FF1" s="26" t="s">
        <v>2370</v>
      </c>
      <c r="FG1" s="26" t="s">
        <v>2369</v>
      </c>
      <c r="FH1" s="33" t="s">
        <v>2368</v>
      </c>
      <c r="FI1" s="36" t="s">
        <v>2367</v>
      </c>
      <c r="FJ1" s="35" t="s">
        <v>2366</v>
      </c>
      <c r="FK1" s="34" t="s">
        <v>2365</v>
      </c>
      <c r="FL1" s="33" t="s">
        <v>2364</v>
      </c>
      <c r="FM1" s="33" t="s">
        <v>2363</v>
      </c>
      <c r="FN1" s="34" t="s">
        <v>2362</v>
      </c>
      <c r="FO1" s="33" t="s">
        <v>2361</v>
      </c>
      <c r="FP1" s="33" t="s">
        <v>2360</v>
      </c>
      <c r="FQ1" s="33" t="s">
        <v>2359</v>
      </c>
      <c r="FR1" s="33" t="s">
        <v>2358</v>
      </c>
      <c r="FS1" s="26" t="s">
        <v>2357</v>
      </c>
      <c r="FT1" s="26" t="s">
        <v>2356</v>
      </c>
      <c r="FU1" s="26" t="s">
        <v>2355</v>
      </c>
      <c r="FV1" s="26" t="s">
        <v>2354</v>
      </c>
      <c r="FW1" s="26" t="s">
        <v>2353</v>
      </c>
      <c r="FX1" s="26" t="s">
        <v>2352</v>
      </c>
      <c r="FY1" s="26" t="s">
        <v>2351</v>
      </c>
      <c r="FZ1" s="26" t="s">
        <v>2350</v>
      </c>
      <c r="GA1" s="1" t="s">
        <v>2349</v>
      </c>
      <c r="GB1" s="1" t="s">
        <v>2348</v>
      </c>
      <c r="GC1" s="1" t="s">
        <v>2347</v>
      </c>
      <c r="GD1" s="1" t="s">
        <v>2346</v>
      </c>
      <c r="GE1" s="1" t="s">
        <v>2345</v>
      </c>
      <c r="GF1" s="1" t="s">
        <v>2344</v>
      </c>
      <c r="GG1" s="1" t="s">
        <v>2343</v>
      </c>
      <c r="GH1" s="1" t="s">
        <v>2342</v>
      </c>
    </row>
    <row r="2" spans="1:190" ht="12.75" hidden="1" customHeight="1">
      <c r="A2" s="1" t="s">
        <v>2341</v>
      </c>
      <c r="B2" s="12" t="s">
        <v>2340</v>
      </c>
      <c r="C2" s="12">
        <v>36265813</v>
      </c>
      <c r="D2" s="12">
        <v>0</v>
      </c>
      <c r="E2" s="12">
        <v>0</v>
      </c>
      <c r="F2" s="12">
        <v>0</v>
      </c>
      <c r="G2" s="12">
        <v>1</v>
      </c>
      <c r="H2" s="21"/>
      <c r="I2" s="11">
        <v>39230</v>
      </c>
      <c r="J2" s="11">
        <v>39204</v>
      </c>
      <c r="K2" s="11">
        <v>18970</v>
      </c>
      <c r="L2" s="20">
        <f>(DAYS360(K2,I2))/365</f>
        <v>54.712328767123289</v>
      </c>
      <c r="M2" s="12" t="s">
        <v>370</v>
      </c>
      <c r="N2" s="12">
        <v>1</v>
      </c>
      <c r="O2" s="12">
        <v>0</v>
      </c>
      <c r="P2" s="12" t="s">
        <v>423</v>
      </c>
      <c r="Q2" s="12">
        <v>1</v>
      </c>
      <c r="R2" s="12" t="s">
        <v>466</v>
      </c>
      <c r="S2" s="12" t="s">
        <v>2339</v>
      </c>
      <c r="T2" s="12" t="s">
        <v>2086</v>
      </c>
      <c r="U2" s="12">
        <v>1</v>
      </c>
      <c r="V2" s="12">
        <v>1</v>
      </c>
      <c r="W2" s="12">
        <v>0</v>
      </c>
      <c r="X2" s="12" t="s">
        <v>2338</v>
      </c>
      <c r="Y2" s="12">
        <v>3</v>
      </c>
      <c r="Z2" s="12">
        <v>0</v>
      </c>
      <c r="AA2" s="12" t="s">
        <v>382</v>
      </c>
      <c r="AB2" s="12" t="s">
        <v>1584</v>
      </c>
      <c r="AC2" s="12">
        <v>2</v>
      </c>
      <c r="AD2" s="12" t="s">
        <v>45</v>
      </c>
      <c r="AE2" s="12"/>
      <c r="AF2" s="12">
        <v>0</v>
      </c>
      <c r="AG2" s="12">
        <v>0</v>
      </c>
      <c r="AH2" s="12">
        <v>0</v>
      </c>
      <c r="AI2" s="11">
        <v>39230</v>
      </c>
      <c r="AJ2" s="11">
        <v>39268</v>
      </c>
      <c r="AK2" s="19" t="s">
        <v>357</v>
      </c>
      <c r="AL2" s="19" t="s">
        <v>357</v>
      </c>
      <c r="AM2" s="12">
        <v>1</v>
      </c>
      <c r="AN2" s="12">
        <v>0</v>
      </c>
      <c r="AO2" s="12">
        <v>1</v>
      </c>
      <c r="AP2" s="12">
        <v>0</v>
      </c>
      <c r="AQ2" s="12">
        <v>0</v>
      </c>
      <c r="AR2" s="12">
        <v>0</v>
      </c>
      <c r="AS2" s="12">
        <v>0</v>
      </c>
      <c r="AT2" s="12">
        <v>0</v>
      </c>
      <c r="AU2" s="19" t="s">
        <v>357</v>
      </c>
      <c r="AV2" s="19" t="s">
        <v>357</v>
      </c>
      <c r="AW2" s="19" t="s">
        <v>45</v>
      </c>
      <c r="AX2" s="19" t="s">
        <v>357</v>
      </c>
      <c r="AY2" s="19" t="s">
        <v>357</v>
      </c>
      <c r="AZ2" s="19" t="s">
        <v>357</v>
      </c>
      <c r="BA2" s="12"/>
      <c r="BB2" s="12"/>
      <c r="BC2" s="12"/>
      <c r="BD2" s="12"/>
      <c r="BE2" s="12"/>
      <c r="BF2" s="12" t="s">
        <v>498</v>
      </c>
      <c r="BG2" s="12" t="s">
        <v>360</v>
      </c>
      <c r="BH2" s="12">
        <v>45</v>
      </c>
      <c r="BI2" s="12">
        <v>5.4</v>
      </c>
      <c r="BJ2" s="12">
        <v>1</v>
      </c>
      <c r="BK2" s="12">
        <f>BH2+BI2</f>
        <v>50.4</v>
      </c>
      <c r="BL2" s="12">
        <v>28</v>
      </c>
      <c r="BM2" s="12">
        <v>1.8</v>
      </c>
      <c r="BN2" s="12" t="s">
        <v>359</v>
      </c>
      <c r="BO2" s="12">
        <v>0</v>
      </c>
      <c r="BP2" s="12">
        <v>1</v>
      </c>
      <c r="BQ2" s="12">
        <v>1</v>
      </c>
      <c r="BR2" s="11">
        <v>39230</v>
      </c>
      <c r="BS2" s="12" t="s">
        <v>1560</v>
      </c>
      <c r="BT2" s="12" t="s">
        <v>1559</v>
      </c>
      <c r="BU2" s="12">
        <v>6</v>
      </c>
      <c r="BV2" s="12">
        <v>1</v>
      </c>
      <c r="BW2" s="12">
        <v>7.7</v>
      </c>
      <c r="BX2" s="12">
        <v>0.73199999999999998</v>
      </c>
      <c r="BY2" s="12">
        <v>0.188</v>
      </c>
      <c r="BZ2" s="12">
        <v>14.1</v>
      </c>
      <c r="CA2" s="12">
        <v>347</v>
      </c>
      <c r="CB2" s="12">
        <v>1.83</v>
      </c>
      <c r="CC2" s="12"/>
      <c r="CD2" s="12">
        <v>4.4000000000000004</v>
      </c>
      <c r="CE2" s="12">
        <v>1</v>
      </c>
      <c r="CF2" s="11">
        <v>39296</v>
      </c>
      <c r="CG2" s="7">
        <f>CF2-AJ2</f>
        <v>28</v>
      </c>
      <c r="CH2" s="17" t="s">
        <v>461</v>
      </c>
      <c r="CI2" s="17" t="s">
        <v>460</v>
      </c>
      <c r="CJ2" s="17" t="s">
        <v>182</v>
      </c>
      <c r="CK2" s="12" t="s">
        <v>496</v>
      </c>
      <c r="CL2" s="12">
        <v>0</v>
      </c>
      <c r="CM2" s="12">
        <v>0</v>
      </c>
      <c r="CN2" s="12"/>
      <c r="CO2" s="12" t="s">
        <v>357</v>
      </c>
      <c r="CP2" s="12"/>
      <c r="CQ2" s="12" t="s">
        <v>2337</v>
      </c>
      <c r="CR2" s="12">
        <v>0.1</v>
      </c>
      <c r="CS2" s="1" t="s">
        <v>1581</v>
      </c>
      <c r="CT2" s="12" t="s">
        <v>357</v>
      </c>
      <c r="CU2" s="12" t="s">
        <v>454</v>
      </c>
      <c r="CV2" s="17">
        <v>0</v>
      </c>
      <c r="CW2" s="12">
        <v>3.5</v>
      </c>
      <c r="CX2" s="12">
        <v>13.3</v>
      </c>
      <c r="CY2" s="12">
        <v>0.8</v>
      </c>
      <c r="CZ2" s="12">
        <v>0</v>
      </c>
      <c r="DA2" s="12">
        <v>43</v>
      </c>
      <c r="DB2" s="13">
        <f>CZ2/DA2*100</f>
        <v>0</v>
      </c>
      <c r="DC2" s="12">
        <v>0</v>
      </c>
      <c r="DD2" s="12">
        <v>0</v>
      </c>
      <c r="DE2" s="12">
        <v>0</v>
      </c>
      <c r="DF2" s="12">
        <v>0</v>
      </c>
      <c r="DG2" s="12" t="s">
        <v>2336</v>
      </c>
      <c r="DH2" s="16">
        <v>0</v>
      </c>
      <c r="DI2" s="16">
        <v>0</v>
      </c>
      <c r="DJ2" s="11">
        <v>42879</v>
      </c>
      <c r="DK2" s="11" t="s">
        <v>1691</v>
      </c>
      <c r="DL2" s="12">
        <f>(DJ2-I2)/365.25*12</f>
        <v>119.88501026694044</v>
      </c>
      <c r="DM2" s="12">
        <v>1</v>
      </c>
      <c r="DN2" s="12" t="s">
        <v>2127</v>
      </c>
      <c r="DO2" s="11">
        <v>39436</v>
      </c>
      <c r="DP2" s="19" t="s">
        <v>508</v>
      </c>
      <c r="DQ2" s="16">
        <v>0</v>
      </c>
      <c r="DR2" s="11" t="s">
        <v>45</v>
      </c>
      <c r="DS2" s="10">
        <f>IF(DQ2=1, (DR2-$I2)/365.25*12, IF(DQ2=0, $DL2, "ERROR"))</f>
        <v>119.88501026694044</v>
      </c>
      <c r="DT2" s="16">
        <v>0</v>
      </c>
      <c r="DU2" s="16">
        <v>0</v>
      </c>
      <c r="DV2" s="16">
        <v>0</v>
      </c>
      <c r="DW2" s="16">
        <f>DU2*(1-DV2)</f>
        <v>0</v>
      </c>
      <c r="DX2" s="16">
        <f>(1-DU2)*DV2</f>
        <v>0</v>
      </c>
      <c r="DY2" s="16">
        <f>DU2*DV2</f>
        <v>0</v>
      </c>
      <c r="DZ2" s="11" t="s">
        <v>45</v>
      </c>
      <c r="EA2" s="10">
        <f>IF(DT2=1, (DZ2-$I2)/365.25*12, IF(DT2=0, $DL2, "ERROR"))</f>
        <v>119.88501026694044</v>
      </c>
      <c r="EB2" s="16">
        <v>0</v>
      </c>
      <c r="EC2" s="16">
        <v>0</v>
      </c>
      <c r="ED2" s="16">
        <f>1-((1-DQ2)*(1-DT2))</f>
        <v>0</v>
      </c>
      <c r="EE2" s="11" t="s">
        <v>45</v>
      </c>
      <c r="EF2" s="12" t="s">
        <v>2335</v>
      </c>
      <c r="EG2" s="16" t="s">
        <v>45</v>
      </c>
      <c r="EH2" s="12" t="s">
        <v>357</v>
      </c>
      <c r="EI2" s="12">
        <v>1</v>
      </c>
      <c r="EJ2" s="16">
        <f>(1-DQ2)*DX2*(1-EI2)</f>
        <v>0</v>
      </c>
      <c r="EK2" s="11">
        <v>39436</v>
      </c>
      <c r="EL2" s="10">
        <f>IF(EI2=1, (EK2-$I2)/365.25*12, IF(EI2=0, $DL2, "ERROR"))</f>
        <v>6.7679671457905544</v>
      </c>
      <c r="EM2" s="12" t="s">
        <v>337</v>
      </c>
      <c r="EN2" s="16">
        <v>1</v>
      </c>
      <c r="EO2" s="16">
        <v>0</v>
      </c>
      <c r="EP2" s="16">
        <v>0</v>
      </c>
      <c r="EQ2" s="16">
        <v>0</v>
      </c>
      <c r="ER2" s="16">
        <v>0</v>
      </c>
      <c r="ES2" s="16">
        <v>0</v>
      </c>
      <c r="ET2" s="16">
        <v>0</v>
      </c>
      <c r="EU2" s="16">
        <v>0</v>
      </c>
      <c r="EV2" s="16">
        <v>0</v>
      </c>
      <c r="EW2" s="1">
        <f>1-((1-EP2)*(1-ET2)*(1-EU2)*(1-EV2))</f>
        <v>0</v>
      </c>
      <c r="EX2" s="16">
        <v>0</v>
      </c>
      <c r="EY2" s="7">
        <v>0</v>
      </c>
      <c r="EZ2" s="7">
        <v>0</v>
      </c>
      <c r="FA2" s="7">
        <v>0</v>
      </c>
      <c r="FB2" s="12" t="s">
        <v>45</v>
      </c>
      <c r="FC2" s="12">
        <v>0</v>
      </c>
      <c r="FD2" s="12">
        <v>1</v>
      </c>
      <c r="FE2" s="12"/>
      <c r="FF2" s="30" t="s">
        <v>45</v>
      </c>
      <c r="FG2" s="3">
        <f>IF(FC2=1, FF2, IF(FD2=1, 44348, DJ2))</f>
        <v>44348</v>
      </c>
      <c r="FH2" s="13">
        <f>(FG2-I2)/365.25*12</f>
        <v>168.14784394250512</v>
      </c>
      <c r="FI2" s="13"/>
      <c r="FJ2" s="14">
        <f>IF(OR(DM2,FC2), 1, 0)</f>
        <v>1</v>
      </c>
      <c r="FK2" s="11">
        <f>IF(DM2=1,IF(FC2=1,MIN(DO2,FF2),DO2),IF(FC2=1,FF2,DJ2))</f>
        <v>39436</v>
      </c>
      <c r="FL2" s="13">
        <f>(FK2-$I2)/365.25*12</f>
        <v>6.7679671457905544</v>
      </c>
      <c r="FM2" s="14">
        <f>IF(OR(ED2,FC2), 1, 0)</f>
        <v>0</v>
      </c>
      <c r="FN2" s="11">
        <f>IF(ED2=1,IF(FC2=1,MIN(EE2,FF2),EE2),IF(FC2=1,FF2,DJ2))</f>
        <v>42879</v>
      </c>
      <c r="FO2" s="13">
        <f>(FN2-$I2)/365.25*12</f>
        <v>119.88501026694044</v>
      </c>
      <c r="FP2" s="14">
        <f>IF(OR(EI2,FC2), 1, 0)</f>
        <v>1</v>
      </c>
      <c r="FQ2" s="11">
        <f>IF(EI2=1,IF(FC2=1,MIN(EK2,FF2),EK2),IF(FC2=1,FF2,DJ2))</f>
        <v>39436</v>
      </c>
      <c r="FR2" s="13">
        <f>(FQ2-$I2)/365.25*12</f>
        <v>6.7679671457905544</v>
      </c>
      <c r="FS2" s="12" t="s">
        <v>357</v>
      </c>
      <c r="FT2" s="12" t="s">
        <v>357</v>
      </c>
      <c r="FU2" s="12">
        <v>0</v>
      </c>
      <c r="FV2" s="12">
        <v>0</v>
      </c>
      <c r="FW2" s="12">
        <v>0</v>
      </c>
      <c r="FX2" s="12">
        <v>0</v>
      </c>
      <c r="FY2" s="12" t="s">
        <v>2334</v>
      </c>
      <c r="FZ2" s="12"/>
    </row>
    <row r="3" spans="1:190" ht="12.75" hidden="1" customHeight="1">
      <c r="A3" s="1" t="s">
        <v>2333</v>
      </c>
      <c r="B3" s="12" t="s">
        <v>2332</v>
      </c>
      <c r="C3" s="12">
        <v>38107069</v>
      </c>
      <c r="D3" s="12">
        <v>0</v>
      </c>
      <c r="E3" s="12">
        <v>0</v>
      </c>
      <c r="F3" s="12">
        <v>0</v>
      </c>
      <c r="G3" s="12">
        <v>1</v>
      </c>
      <c r="H3" s="21"/>
      <c r="I3" s="11">
        <v>39715</v>
      </c>
      <c r="J3" s="11">
        <v>39700</v>
      </c>
      <c r="K3" s="11">
        <v>21330</v>
      </c>
      <c r="L3" s="20">
        <f>(DAYS360(K3,I3))/365</f>
        <v>49.641095890410959</v>
      </c>
      <c r="M3" s="12" t="s">
        <v>370</v>
      </c>
      <c r="N3" s="12">
        <v>1</v>
      </c>
      <c r="O3" s="12">
        <v>0</v>
      </c>
      <c r="P3" s="12" t="s">
        <v>423</v>
      </c>
      <c r="Q3" s="12">
        <v>1</v>
      </c>
      <c r="R3" s="12" t="s">
        <v>466</v>
      </c>
      <c r="S3" s="12" t="s">
        <v>2331</v>
      </c>
      <c r="T3" s="12" t="s">
        <v>368</v>
      </c>
      <c r="U3" s="12">
        <v>0</v>
      </c>
      <c r="V3" s="12">
        <v>0</v>
      </c>
      <c r="W3" s="12">
        <v>1</v>
      </c>
      <c r="X3" s="12" t="s">
        <v>2330</v>
      </c>
      <c r="Y3" s="12">
        <v>3</v>
      </c>
      <c r="Z3" s="12">
        <v>1</v>
      </c>
      <c r="AA3" s="12" t="s">
        <v>96</v>
      </c>
      <c r="AB3" s="12" t="s">
        <v>567</v>
      </c>
      <c r="AC3" s="12">
        <v>5</v>
      </c>
      <c r="AD3" s="12" t="s">
        <v>2329</v>
      </c>
      <c r="AE3" s="12"/>
      <c r="AF3" s="12">
        <v>1</v>
      </c>
      <c r="AG3" s="12">
        <v>1</v>
      </c>
      <c r="AH3" s="12">
        <v>1</v>
      </c>
      <c r="AI3" s="11">
        <v>39715</v>
      </c>
      <c r="AJ3" s="11">
        <v>39756</v>
      </c>
      <c r="AK3" s="19" t="s">
        <v>357</v>
      </c>
      <c r="AL3" s="19" t="s">
        <v>357</v>
      </c>
      <c r="AM3" s="12">
        <v>0</v>
      </c>
      <c r="AN3" s="12">
        <v>0</v>
      </c>
      <c r="AO3" s="12">
        <v>0</v>
      </c>
      <c r="AP3" s="12">
        <v>0</v>
      </c>
      <c r="AQ3" s="12">
        <v>0</v>
      </c>
      <c r="AR3" s="12">
        <v>0</v>
      </c>
      <c r="AS3" s="12">
        <v>0</v>
      </c>
      <c r="AT3" s="12">
        <v>0</v>
      </c>
      <c r="AU3" s="19" t="s">
        <v>357</v>
      </c>
      <c r="AV3" s="19" t="s">
        <v>357</v>
      </c>
      <c r="AW3" s="19" t="s">
        <v>45</v>
      </c>
      <c r="AX3" s="19" t="s">
        <v>357</v>
      </c>
      <c r="AY3" s="19" t="s">
        <v>357</v>
      </c>
      <c r="AZ3" s="19" t="s">
        <v>357</v>
      </c>
      <c r="BA3" s="12">
        <f>5.5+8.5+0.5</f>
        <v>14.5</v>
      </c>
      <c r="BB3" s="12">
        <v>275.5</v>
      </c>
      <c r="BC3" s="12">
        <v>4.5</v>
      </c>
      <c r="BD3" s="12">
        <f>13.5-9+0.5</f>
        <v>5</v>
      </c>
      <c r="BE3" s="12">
        <v>675.2</v>
      </c>
      <c r="BF3" s="12" t="s">
        <v>2328</v>
      </c>
      <c r="BG3" s="12" t="s">
        <v>360</v>
      </c>
      <c r="BH3" s="12">
        <v>45</v>
      </c>
      <c r="BI3" s="12">
        <v>5.4</v>
      </c>
      <c r="BJ3" s="12">
        <v>1</v>
      </c>
      <c r="BK3" s="12">
        <f>BH3+BI3</f>
        <v>50.4</v>
      </c>
      <c r="BL3" s="12">
        <v>28</v>
      </c>
      <c r="BM3" s="12">
        <v>1.8</v>
      </c>
      <c r="BN3" s="12" t="s">
        <v>359</v>
      </c>
      <c r="BO3" s="12">
        <v>0</v>
      </c>
      <c r="BP3" s="12">
        <v>1</v>
      </c>
      <c r="BQ3" s="12">
        <v>1</v>
      </c>
      <c r="BR3" s="11">
        <v>39715</v>
      </c>
      <c r="BS3" s="12" t="s">
        <v>91</v>
      </c>
      <c r="BT3" s="12" t="s">
        <v>90</v>
      </c>
      <c r="BU3" s="12">
        <v>2</v>
      </c>
      <c r="BV3" s="12">
        <v>1</v>
      </c>
      <c r="BW3" s="12">
        <v>7.68</v>
      </c>
      <c r="BX3" s="12">
        <v>0.54</v>
      </c>
      <c r="BY3" s="12">
        <v>0.37</v>
      </c>
      <c r="BZ3" s="12">
        <v>13.6</v>
      </c>
      <c r="CA3" s="12">
        <v>214</v>
      </c>
      <c r="CB3" s="12">
        <v>1.55</v>
      </c>
      <c r="CC3" s="12">
        <v>10.5</v>
      </c>
      <c r="CD3" s="12">
        <v>7.2</v>
      </c>
      <c r="CE3" s="12">
        <v>1</v>
      </c>
      <c r="CF3" s="11">
        <v>39779</v>
      </c>
      <c r="CG3" s="7">
        <f>CF3-AJ3</f>
        <v>23</v>
      </c>
      <c r="CH3" s="17" t="s">
        <v>461</v>
      </c>
      <c r="CI3" s="17" t="s">
        <v>460</v>
      </c>
      <c r="CJ3" s="17" t="s">
        <v>606</v>
      </c>
      <c r="CK3" s="12" t="s">
        <v>2327</v>
      </c>
      <c r="CL3" s="12" t="s">
        <v>1109</v>
      </c>
      <c r="CM3" s="12">
        <v>0</v>
      </c>
      <c r="CN3" s="12"/>
      <c r="CO3" s="12" t="s">
        <v>357</v>
      </c>
      <c r="CP3" s="12"/>
      <c r="CQ3" s="17" t="s">
        <v>2326</v>
      </c>
      <c r="CR3" s="17">
        <v>4</v>
      </c>
      <c r="CS3" s="12" t="s">
        <v>1581</v>
      </c>
      <c r="CT3" s="12" t="s">
        <v>455</v>
      </c>
      <c r="CU3" s="12" t="s">
        <v>454</v>
      </c>
      <c r="CV3" s="17">
        <v>1</v>
      </c>
      <c r="CW3" s="12">
        <v>0.5</v>
      </c>
      <c r="CX3" s="12">
        <v>12</v>
      </c>
      <c r="CY3" s="12">
        <v>0</v>
      </c>
      <c r="CZ3" s="12">
        <v>8</v>
      </c>
      <c r="DA3" s="12">
        <v>52</v>
      </c>
      <c r="DB3" s="13">
        <f>CZ3/DA3*100</f>
        <v>15.384615384615385</v>
      </c>
      <c r="DC3" s="12">
        <v>1</v>
      </c>
      <c r="DD3" s="12">
        <v>1</v>
      </c>
      <c r="DE3" s="12">
        <v>0</v>
      </c>
      <c r="DF3" s="12">
        <v>0</v>
      </c>
      <c r="DG3" s="12" t="s">
        <v>2325</v>
      </c>
      <c r="DH3" s="16">
        <v>0</v>
      </c>
      <c r="DI3" s="16">
        <v>0</v>
      </c>
      <c r="DJ3" s="11">
        <v>40084</v>
      </c>
      <c r="DK3" s="12"/>
      <c r="DL3" s="12">
        <f>(DJ3-I3)/365.25*12</f>
        <v>12.123203285420946</v>
      </c>
      <c r="DM3" s="12">
        <v>1</v>
      </c>
      <c r="DN3" s="12" t="s">
        <v>2324</v>
      </c>
      <c r="DO3" s="11">
        <v>39881</v>
      </c>
      <c r="DP3" s="19" t="s">
        <v>133</v>
      </c>
      <c r="DQ3" s="16">
        <v>0</v>
      </c>
      <c r="DR3" s="11" t="s">
        <v>45</v>
      </c>
      <c r="DS3" s="10">
        <f>IF(DQ3=1, (DR3-$I3)/365.25*12, IF(DQ3=0, $DL3, "ERROR"))</f>
        <v>12.123203285420946</v>
      </c>
      <c r="DT3" s="16">
        <v>0</v>
      </c>
      <c r="DU3" s="16">
        <v>0</v>
      </c>
      <c r="DV3" s="16">
        <v>0</v>
      </c>
      <c r="DW3" s="16">
        <f>DU3*(1-DV3)</f>
        <v>0</v>
      </c>
      <c r="DX3" s="16">
        <f>(1-DU3)*DV3</f>
        <v>0</v>
      </c>
      <c r="DY3" s="16">
        <f>DU3*DV3</f>
        <v>0</v>
      </c>
      <c r="DZ3" s="11" t="s">
        <v>45</v>
      </c>
      <c r="EA3" s="10">
        <f>IF(DT3=1, (DZ3-$I3)/365.25*12, IF(DT3=0, $DL3, "ERROR"))</f>
        <v>12.123203285420946</v>
      </c>
      <c r="EB3" s="16">
        <v>0</v>
      </c>
      <c r="EC3" s="16">
        <v>0</v>
      </c>
      <c r="ED3" s="16">
        <f>1-((1-DQ3)*(1-DT3))</f>
        <v>0</v>
      </c>
      <c r="EE3" s="11" t="s">
        <v>45</v>
      </c>
      <c r="EF3" s="12" t="s">
        <v>2323</v>
      </c>
      <c r="EG3" s="16" t="s">
        <v>45</v>
      </c>
      <c r="EH3" s="12" t="s">
        <v>45</v>
      </c>
      <c r="EI3" s="12">
        <v>1</v>
      </c>
      <c r="EJ3" s="16">
        <f>(1-DQ3)*DX3*(1-EI3)</f>
        <v>0</v>
      </c>
      <c r="EK3" s="11">
        <v>39881</v>
      </c>
      <c r="EL3" s="10">
        <f>IF(EI3=1, (EK3-$I3)/365.25*12, IF(EI3=0, $DL3, "ERROR"))</f>
        <v>5.4537987679671458</v>
      </c>
      <c r="EM3" s="12" t="s">
        <v>337</v>
      </c>
      <c r="EN3" s="16">
        <v>1</v>
      </c>
      <c r="EO3" s="16">
        <v>0</v>
      </c>
      <c r="EP3" s="16">
        <v>0</v>
      </c>
      <c r="EQ3" s="16">
        <v>0</v>
      </c>
      <c r="ER3" s="16">
        <v>0</v>
      </c>
      <c r="ES3" s="16">
        <v>0</v>
      </c>
      <c r="ET3" s="16">
        <v>0</v>
      </c>
      <c r="EU3" s="16">
        <v>0</v>
      </c>
      <c r="EV3" s="16">
        <v>0</v>
      </c>
      <c r="EW3" s="1">
        <f>1-((1-EP3)*(1-ET3)*(1-EU3)*(1-EV3))</f>
        <v>0</v>
      </c>
      <c r="EX3" s="16">
        <v>0</v>
      </c>
      <c r="EY3" s="7">
        <v>0</v>
      </c>
      <c r="EZ3" s="7">
        <v>0</v>
      </c>
      <c r="FA3" s="7">
        <v>0</v>
      </c>
      <c r="FB3" s="12" t="s">
        <v>45</v>
      </c>
      <c r="FC3" s="12">
        <v>1</v>
      </c>
      <c r="FD3" s="12">
        <v>1</v>
      </c>
      <c r="FE3" s="12"/>
      <c r="FF3" s="18">
        <v>40095</v>
      </c>
      <c r="FG3" s="3">
        <f>IF(FC3=1, FF3, IF(FD3=1, 44348, DJ3))</f>
        <v>40095</v>
      </c>
      <c r="FH3" s="13">
        <f>(FG3-I3)/365.25*12</f>
        <v>12.484599589322382</v>
      </c>
      <c r="FI3" s="13"/>
      <c r="FJ3" s="14">
        <f>IF(OR(DM3,FC3), 1, 0)</f>
        <v>1</v>
      </c>
      <c r="FK3" s="11">
        <f>IF(DM3=1,IF(FC3=1,MIN(DO3,FF3),DO3),IF(FC3=1,FF3,DJ3))</f>
        <v>39881</v>
      </c>
      <c r="FL3" s="13">
        <f>(FK3-$I3)/365.25*12</f>
        <v>5.4537987679671458</v>
      </c>
      <c r="FM3" s="14">
        <f>IF(OR(ED3,FC3), 1, 0)</f>
        <v>1</v>
      </c>
      <c r="FN3" s="11">
        <f>IF(ED3=1,IF(FC3=1,MIN(EE3,FF3),EE3),IF(FC3=1,FF3,DJ3))</f>
        <v>40095</v>
      </c>
      <c r="FO3" s="13">
        <f>(FN3-$I3)/365.25*12</f>
        <v>12.484599589322382</v>
      </c>
      <c r="FP3" s="14">
        <f>IF(OR(EI3,FC3), 1, 0)</f>
        <v>1</v>
      </c>
      <c r="FQ3" s="11">
        <f>IF(EI3=1,IF(FC3=1,MIN(EK3,FF3),EK3),IF(FC3=1,FF3,DJ3))</f>
        <v>39881</v>
      </c>
      <c r="FR3" s="13">
        <f>(FQ3-$I3)/365.25*12</f>
        <v>5.4537987679671458</v>
      </c>
      <c r="FS3" s="12"/>
      <c r="FT3" s="12"/>
      <c r="FU3" s="12">
        <v>0</v>
      </c>
      <c r="FV3" s="12">
        <v>0</v>
      </c>
      <c r="FW3" s="12">
        <v>0</v>
      </c>
      <c r="FX3" s="12">
        <v>0</v>
      </c>
      <c r="FY3" s="12" t="s">
        <v>2322</v>
      </c>
      <c r="FZ3" s="12"/>
    </row>
    <row r="4" spans="1:190" ht="12.75" hidden="1" customHeight="1">
      <c r="A4" s="1" t="s">
        <v>2321</v>
      </c>
      <c r="B4" s="12" t="s">
        <v>2320</v>
      </c>
      <c r="C4" s="12">
        <v>18315354</v>
      </c>
      <c r="D4" s="12">
        <v>0</v>
      </c>
      <c r="E4" s="12">
        <v>0</v>
      </c>
      <c r="F4" s="12">
        <v>0</v>
      </c>
      <c r="G4" s="12">
        <v>1</v>
      </c>
      <c r="H4" s="21"/>
      <c r="I4" s="11">
        <v>40133</v>
      </c>
      <c r="J4" s="11">
        <v>40126</v>
      </c>
      <c r="K4" s="11">
        <v>17303</v>
      </c>
      <c r="L4" s="20">
        <f>(DAYS360(K4,I4))/365</f>
        <v>61.643835616438359</v>
      </c>
      <c r="M4" s="12" t="s">
        <v>370</v>
      </c>
      <c r="N4" s="12">
        <v>0</v>
      </c>
      <c r="O4" s="12">
        <v>0</v>
      </c>
      <c r="P4" s="12" t="s">
        <v>423</v>
      </c>
      <c r="Q4" s="12">
        <v>1</v>
      </c>
      <c r="R4" s="12" t="s">
        <v>466</v>
      </c>
      <c r="S4" s="12" t="s">
        <v>2319</v>
      </c>
      <c r="T4" s="12" t="s">
        <v>408</v>
      </c>
      <c r="U4" s="12">
        <v>1</v>
      </c>
      <c r="V4" s="12">
        <v>0</v>
      </c>
      <c r="W4" s="12">
        <v>0</v>
      </c>
      <c r="X4" s="12" t="s">
        <v>1584</v>
      </c>
      <c r="Y4" s="12">
        <v>2</v>
      </c>
      <c r="Z4" s="12">
        <v>0</v>
      </c>
      <c r="AA4" s="12" t="s">
        <v>382</v>
      </c>
      <c r="AB4" s="12" t="s">
        <v>1584</v>
      </c>
      <c r="AC4" s="12">
        <v>2</v>
      </c>
      <c r="AD4" s="12" t="s">
        <v>45</v>
      </c>
      <c r="AE4" s="12"/>
      <c r="AF4" s="12">
        <v>0</v>
      </c>
      <c r="AG4" s="12">
        <v>0</v>
      </c>
      <c r="AH4" s="12">
        <v>0</v>
      </c>
      <c r="AI4" s="11">
        <v>40133</v>
      </c>
      <c r="AJ4" s="11">
        <v>40176</v>
      </c>
      <c r="AK4" s="19" t="s">
        <v>2318</v>
      </c>
      <c r="AL4" s="19" t="s">
        <v>357</v>
      </c>
      <c r="AM4" s="12">
        <v>1</v>
      </c>
      <c r="AN4" s="12">
        <v>0</v>
      </c>
      <c r="AO4" s="12">
        <v>1</v>
      </c>
      <c r="AP4" s="12">
        <v>0</v>
      </c>
      <c r="AQ4" s="12">
        <v>0</v>
      </c>
      <c r="AR4" s="12">
        <v>0</v>
      </c>
      <c r="AS4" s="12">
        <f>IF(AND(AM4=0,AU4&lt;=2), 1, 0)</f>
        <v>0</v>
      </c>
      <c r="AT4" s="12">
        <v>0</v>
      </c>
      <c r="AU4" s="12">
        <v>5</v>
      </c>
      <c r="AV4" s="12">
        <v>1</v>
      </c>
      <c r="AW4" s="12" t="s">
        <v>45</v>
      </c>
      <c r="AX4" s="12">
        <v>2</v>
      </c>
      <c r="AY4" s="12">
        <v>1</v>
      </c>
      <c r="AZ4" s="19" t="s">
        <v>357</v>
      </c>
      <c r="BA4" s="12">
        <f>4-0.5+0.5</f>
        <v>4</v>
      </c>
      <c r="BB4" s="12">
        <v>152.80000000000001</v>
      </c>
      <c r="BC4" s="12">
        <f>7-4.5+0.5</f>
        <v>3</v>
      </c>
      <c r="BD4" s="12">
        <v>3</v>
      </c>
      <c r="BE4" s="12">
        <v>423.2</v>
      </c>
      <c r="BF4" s="12" t="s">
        <v>2317</v>
      </c>
      <c r="BG4" s="12" t="s">
        <v>2316</v>
      </c>
      <c r="BH4" s="12">
        <v>45</v>
      </c>
      <c r="BI4" s="12">
        <v>9</v>
      </c>
      <c r="BJ4" s="12">
        <v>1</v>
      </c>
      <c r="BK4" s="12">
        <f>BH4+BI4</f>
        <v>54</v>
      </c>
      <c r="BL4" s="12">
        <v>30</v>
      </c>
      <c r="BM4" s="12">
        <v>1.8</v>
      </c>
      <c r="BN4" s="12" t="s">
        <v>359</v>
      </c>
      <c r="BO4" s="12">
        <v>0</v>
      </c>
      <c r="BP4" s="12">
        <v>1</v>
      </c>
      <c r="BQ4" s="12">
        <v>1</v>
      </c>
      <c r="BR4" s="11">
        <v>40133</v>
      </c>
      <c r="BS4" s="12" t="s">
        <v>2315</v>
      </c>
      <c r="BT4" s="12" t="s">
        <v>2315</v>
      </c>
      <c r="BU4" s="12">
        <v>6</v>
      </c>
      <c r="BV4" s="12">
        <v>1</v>
      </c>
      <c r="BW4" s="12">
        <v>11.88</v>
      </c>
      <c r="BX4" s="12">
        <v>0.68400000000000005</v>
      </c>
      <c r="BY4" s="12">
        <v>0.20699999999999999</v>
      </c>
      <c r="BZ4" s="12">
        <v>16.100000000000001</v>
      </c>
      <c r="CA4" s="12">
        <v>341</v>
      </c>
      <c r="CB4" s="12">
        <v>1.78</v>
      </c>
      <c r="CC4" s="12">
        <v>8.9</v>
      </c>
      <c r="CD4" s="12">
        <v>4.8</v>
      </c>
      <c r="CE4" s="12">
        <v>1</v>
      </c>
      <c r="CF4" s="11">
        <v>40206</v>
      </c>
      <c r="CG4" s="7">
        <f>CF4-AJ4</f>
        <v>30</v>
      </c>
      <c r="CH4" s="17" t="s">
        <v>461</v>
      </c>
      <c r="CI4" s="17" t="s">
        <v>460</v>
      </c>
      <c r="CJ4" s="17" t="s">
        <v>606</v>
      </c>
      <c r="CK4" s="12" t="s">
        <v>663</v>
      </c>
      <c r="CL4" s="12" t="s">
        <v>45</v>
      </c>
      <c r="CM4" s="12">
        <v>1</v>
      </c>
      <c r="CN4" s="12"/>
      <c r="CO4" s="17" t="s">
        <v>1558</v>
      </c>
      <c r="CP4" s="17"/>
      <c r="CQ4" s="17" t="s">
        <v>357</v>
      </c>
      <c r="CR4" s="17">
        <v>0</v>
      </c>
      <c r="CS4" s="12" t="s">
        <v>357</v>
      </c>
      <c r="CT4" s="12" t="s">
        <v>357</v>
      </c>
      <c r="CU4" s="12" t="s">
        <v>357</v>
      </c>
      <c r="CV4" s="17">
        <v>0</v>
      </c>
      <c r="CW4" s="12" t="s">
        <v>357</v>
      </c>
      <c r="CX4" s="12" t="s">
        <v>357</v>
      </c>
      <c r="CY4" s="12" t="s">
        <v>357</v>
      </c>
      <c r="CZ4" s="12">
        <v>0</v>
      </c>
      <c r="DA4" s="12">
        <v>41</v>
      </c>
      <c r="DB4" s="13">
        <f>CZ4/DA4*100</f>
        <v>0</v>
      </c>
      <c r="DC4" s="12" t="s">
        <v>357</v>
      </c>
      <c r="DD4" s="12" t="s">
        <v>357</v>
      </c>
      <c r="DE4" s="12" t="s">
        <v>357</v>
      </c>
      <c r="DF4" s="12" t="s">
        <v>357</v>
      </c>
      <c r="DG4" s="12" t="s">
        <v>357</v>
      </c>
      <c r="DH4" s="16">
        <v>0</v>
      </c>
      <c r="DI4" s="16">
        <v>0</v>
      </c>
      <c r="DJ4" s="11">
        <v>44082</v>
      </c>
      <c r="DK4" s="11" t="s">
        <v>1556</v>
      </c>
      <c r="DL4" s="12">
        <f>(DJ4-I4)/365.25*12</f>
        <v>129.74127310061601</v>
      </c>
      <c r="DM4" s="12">
        <v>0</v>
      </c>
      <c r="DN4" s="12" t="s">
        <v>357</v>
      </c>
      <c r="DO4" s="12" t="s">
        <v>357</v>
      </c>
      <c r="DP4" s="12" t="s">
        <v>357</v>
      </c>
      <c r="DQ4" s="16">
        <v>0</v>
      </c>
      <c r="DR4" s="11" t="s">
        <v>45</v>
      </c>
      <c r="DS4" s="10">
        <f>IF(DQ4=1, (DR4-$I4)/365.25*12, IF(DQ4=0, $DL4, "ERROR"))</f>
        <v>129.74127310061601</v>
      </c>
      <c r="DT4" s="16">
        <v>0</v>
      </c>
      <c r="DU4" s="16">
        <v>0</v>
      </c>
      <c r="DV4" s="16">
        <v>0</v>
      </c>
      <c r="DW4" s="16">
        <f>DU4*(1-DV4)</f>
        <v>0</v>
      </c>
      <c r="DX4" s="16">
        <f>(1-DU4)*DV4</f>
        <v>0</v>
      </c>
      <c r="DY4" s="16">
        <f>DU4*DV4</f>
        <v>0</v>
      </c>
      <c r="DZ4" s="11" t="s">
        <v>45</v>
      </c>
      <c r="EA4" s="10">
        <f>IF(DT4=1, (DZ4-$I4)/365.25*12, IF(DT4=0, $DL4, "ERROR"))</f>
        <v>129.74127310061601</v>
      </c>
      <c r="EB4" s="16">
        <v>0</v>
      </c>
      <c r="EC4" s="16">
        <v>0</v>
      </c>
      <c r="ED4" s="16">
        <f>1-((1-DQ4)*(1-DT4))</f>
        <v>0</v>
      </c>
      <c r="EE4" s="11" t="s">
        <v>45</v>
      </c>
      <c r="EF4" s="12" t="s">
        <v>357</v>
      </c>
      <c r="EG4" s="16" t="s">
        <v>45</v>
      </c>
      <c r="EH4" s="12" t="s">
        <v>45</v>
      </c>
      <c r="EI4" s="12">
        <v>0</v>
      </c>
      <c r="EJ4" s="16">
        <f>(1-DQ4)*DX4*(1-EI4)</f>
        <v>0</v>
      </c>
      <c r="EK4" s="12" t="s">
        <v>357</v>
      </c>
      <c r="EL4" s="10">
        <f>IF(EI4=1, (EK4-$I4)/365.25*12, IF(EI4=0, $DL4, "ERROR"))</f>
        <v>129.74127310061601</v>
      </c>
      <c r="EM4" s="12" t="s">
        <v>357</v>
      </c>
      <c r="EN4" s="1">
        <v>0</v>
      </c>
      <c r="EO4" s="1">
        <v>0</v>
      </c>
      <c r="EP4" s="1">
        <v>0</v>
      </c>
      <c r="EQ4" s="1">
        <v>0</v>
      </c>
      <c r="ER4" s="1">
        <v>0</v>
      </c>
      <c r="ES4" s="1">
        <v>0</v>
      </c>
      <c r="ET4" s="1">
        <v>0</v>
      </c>
      <c r="EU4" s="1">
        <v>0</v>
      </c>
      <c r="EV4" s="1">
        <v>0</v>
      </c>
      <c r="EW4" s="1">
        <f>1-((1-EP4)*(1-ET4)*(1-EU4)*(1-EV4))</f>
        <v>0</v>
      </c>
      <c r="EX4" s="16">
        <v>0</v>
      </c>
      <c r="EY4" s="7">
        <v>0</v>
      </c>
      <c r="EZ4" s="7">
        <v>0</v>
      </c>
      <c r="FA4" s="7">
        <v>0</v>
      </c>
      <c r="FB4" s="12" t="s">
        <v>357</v>
      </c>
      <c r="FC4" s="12">
        <v>0</v>
      </c>
      <c r="FD4" s="12">
        <v>1</v>
      </c>
      <c r="FE4" s="12"/>
      <c r="FF4" s="30" t="s">
        <v>45</v>
      </c>
      <c r="FG4" s="3">
        <f>IF(FC4=1, FF4, IF(FD4=1, 44348, DJ4))</f>
        <v>44348</v>
      </c>
      <c r="FH4" s="13">
        <f>(FG4-I4)/365.25*12</f>
        <v>138.48049281314169</v>
      </c>
      <c r="FI4" s="13"/>
      <c r="FJ4" s="14">
        <f>IF(OR(DM4,FC4), 1, 0)</f>
        <v>0</v>
      </c>
      <c r="FK4" s="11">
        <f>IF(DM4=1,IF(FC4=1,MIN(DO4,FF4),DO4),IF(FC4=1,FF4,DJ4))</f>
        <v>44082</v>
      </c>
      <c r="FL4" s="13">
        <f>(FK4-$I4)/365.25*12</f>
        <v>129.74127310061601</v>
      </c>
      <c r="FM4" s="14">
        <f>IF(OR(ED4,FC4), 1, 0)</f>
        <v>0</v>
      </c>
      <c r="FN4" s="11">
        <f>IF(ED4=1,IF(FC4=1,MIN(EE4,FF4),EE4),IF(FC4=1,FF4,DJ4))</f>
        <v>44082</v>
      </c>
      <c r="FO4" s="13">
        <f>(FN4-$I4)/365.25*12</f>
        <v>129.74127310061601</v>
      </c>
      <c r="FP4" s="14">
        <f>IF(OR(EI4,FC4), 1, 0)</f>
        <v>0</v>
      </c>
      <c r="FQ4" s="11">
        <f>IF(EI4=1,IF(FC4=1,MIN(EK4,FF4),EK4),IF(FC4=1,FF4,DJ4))</f>
        <v>44082</v>
      </c>
      <c r="FR4" s="13">
        <f>(FQ4-$I4)/365.25*12</f>
        <v>129.74127310061601</v>
      </c>
      <c r="FS4" s="12"/>
      <c r="FT4" s="12"/>
      <c r="FU4" s="12">
        <v>0</v>
      </c>
      <c r="FV4" s="12">
        <v>0</v>
      </c>
      <c r="FW4" s="12">
        <v>0</v>
      </c>
      <c r="FX4" s="12">
        <v>0</v>
      </c>
      <c r="FY4" s="12" t="s">
        <v>2314</v>
      </c>
      <c r="FZ4" s="12"/>
    </row>
    <row r="5" spans="1:190" ht="12.75" hidden="1" customHeight="1">
      <c r="A5" s="1" t="s">
        <v>2313</v>
      </c>
      <c r="B5" s="12" t="s">
        <v>2312</v>
      </c>
      <c r="C5" s="12">
        <v>41204702</v>
      </c>
      <c r="D5" s="12">
        <v>0</v>
      </c>
      <c r="E5" s="12">
        <v>0</v>
      </c>
      <c r="F5" s="12">
        <v>0</v>
      </c>
      <c r="G5" s="12">
        <v>1</v>
      </c>
      <c r="H5" s="21"/>
      <c r="I5" s="11">
        <v>40548</v>
      </c>
      <c r="J5" s="11">
        <v>40536</v>
      </c>
      <c r="K5" s="11">
        <v>18259</v>
      </c>
      <c r="L5" s="20">
        <f>(DAYS360(K5,I5))/365</f>
        <v>60.186301369863017</v>
      </c>
      <c r="M5" s="12" t="s">
        <v>370</v>
      </c>
      <c r="N5" s="12">
        <v>1</v>
      </c>
      <c r="O5" s="12">
        <v>0</v>
      </c>
      <c r="P5" s="12" t="s">
        <v>423</v>
      </c>
      <c r="Q5" s="12">
        <v>1</v>
      </c>
      <c r="R5" s="12" t="s">
        <v>466</v>
      </c>
      <c r="S5" s="12" t="s">
        <v>2311</v>
      </c>
      <c r="T5" s="12" t="s">
        <v>368</v>
      </c>
      <c r="U5" s="12">
        <v>0</v>
      </c>
      <c r="V5" s="12">
        <v>0</v>
      </c>
      <c r="W5" s="12">
        <v>1</v>
      </c>
      <c r="X5" s="12" t="s">
        <v>1638</v>
      </c>
      <c r="Y5" s="12">
        <v>3</v>
      </c>
      <c r="Z5" s="12">
        <v>0</v>
      </c>
      <c r="AA5" s="12" t="s">
        <v>96</v>
      </c>
      <c r="AB5" s="12" t="s">
        <v>701</v>
      </c>
      <c r="AC5" s="12">
        <v>5</v>
      </c>
      <c r="AD5" s="12" t="s">
        <v>2310</v>
      </c>
      <c r="AE5" s="12" t="s">
        <v>479</v>
      </c>
      <c r="AF5" s="12">
        <v>1</v>
      </c>
      <c r="AG5" s="12">
        <v>1</v>
      </c>
      <c r="AH5" s="12">
        <v>0</v>
      </c>
      <c r="AI5" s="11">
        <v>40548</v>
      </c>
      <c r="AJ5" s="11">
        <v>40585</v>
      </c>
      <c r="AK5" s="19" t="s">
        <v>2309</v>
      </c>
      <c r="AL5" s="19" t="s">
        <v>2308</v>
      </c>
      <c r="AM5" s="12">
        <v>0</v>
      </c>
      <c r="AN5" s="12">
        <v>0</v>
      </c>
      <c r="AO5" s="12">
        <v>0</v>
      </c>
      <c r="AP5" s="12">
        <v>0</v>
      </c>
      <c r="AQ5" s="12">
        <v>0</v>
      </c>
      <c r="AR5" s="12">
        <v>0</v>
      </c>
      <c r="AS5" s="12">
        <f>IF(AND(AM5=0,AU5&lt;=2), 1, 0)</f>
        <v>0</v>
      </c>
      <c r="AT5" s="12">
        <v>0</v>
      </c>
      <c r="AU5" s="12">
        <v>4.5</v>
      </c>
      <c r="AV5" s="12">
        <v>1</v>
      </c>
      <c r="AW5" s="12">
        <v>1</v>
      </c>
      <c r="AX5" s="19" t="s">
        <v>357</v>
      </c>
      <c r="AY5" s="19" t="s">
        <v>357</v>
      </c>
      <c r="AZ5" s="12">
        <v>0.5</v>
      </c>
      <c r="BA5" s="12">
        <f>6.5+0.5+0.5</f>
        <v>7.5</v>
      </c>
      <c r="BB5" s="12">
        <v>308.8</v>
      </c>
      <c r="BC5" s="12">
        <f>12.5-7+0.5</f>
        <v>6</v>
      </c>
      <c r="BD5" s="12">
        <v>2</v>
      </c>
      <c r="BE5" s="12">
        <v>801.9</v>
      </c>
      <c r="BF5" s="12" t="s">
        <v>2307</v>
      </c>
      <c r="BG5" s="12">
        <v>45</v>
      </c>
      <c r="BH5" s="12">
        <v>45</v>
      </c>
      <c r="BI5" s="12">
        <v>0</v>
      </c>
      <c r="BJ5" s="12">
        <v>0</v>
      </c>
      <c r="BK5" s="12">
        <f>BH5+BI5</f>
        <v>45</v>
      </c>
      <c r="BL5" s="12">
        <v>25</v>
      </c>
      <c r="BM5" s="12">
        <v>1.8</v>
      </c>
      <c r="BN5" s="12" t="s">
        <v>359</v>
      </c>
      <c r="BO5" s="12">
        <v>0</v>
      </c>
      <c r="BP5" s="12">
        <v>1</v>
      </c>
      <c r="BQ5" s="12">
        <v>1</v>
      </c>
      <c r="BR5" s="11">
        <v>40548</v>
      </c>
      <c r="BS5" s="12" t="s">
        <v>91</v>
      </c>
      <c r="BT5" s="12" t="s">
        <v>90</v>
      </c>
      <c r="BU5" s="12">
        <v>2</v>
      </c>
      <c r="BV5" s="12">
        <v>1</v>
      </c>
      <c r="BW5" s="12">
        <v>11.56</v>
      </c>
      <c r="BX5" s="12">
        <v>0.71699999999999997</v>
      </c>
      <c r="BY5" s="12">
        <v>0.20599999999999999</v>
      </c>
      <c r="BZ5" s="12">
        <v>11.6</v>
      </c>
      <c r="CA5" s="12">
        <v>514</v>
      </c>
      <c r="CB5" s="12">
        <v>1.73</v>
      </c>
      <c r="CC5" s="12"/>
      <c r="CD5" s="12">
        <v>4.5</v>
      </c>
      <c r="CE5" s="12">
        <v>1</v>
      </c>
      <c r="CF5" s="11">
        <v>40624</v>
      </c>
      <c r="CG5" s="7">
        <f>CF5-AJ5</f>
        <v>39</v>
      </c>
      <c r="CH5" s="17" t="s">
        <v>461</v>
      </c>
      <c r="CI5" s="17" t="s">
        <v>460</v>
      </c>
      <c r="CJ5" s="17" t="s">
        <v>606</v>
      </c>
      <c r="CK5" s="12" t="s">
        <v>2306</v>
      </c>
      <c r="CL5" s="12" t="s">
        <v>458</v>
      </c>
      <c r="CM5" s="12">
        <v>0</v>
      </c>
      <c r="CN5" s="12"/>
      <c r="CO5" s="12" t="s">
        <v>357</v>
      </c>
      <c r="CP5" s="12"/>
      <c r="CQ5" s="17" t="s">
        <v>2305</v>
      </c>
      <c r="CR5" s="17">
        <v>0.3</v>
      </c>
      <c r="CS5" s="12" t="s">
        <v>1581</v>
      </c>
      <c r="CT5" s="12" t="s">
        <v>511</v>
      </c>
      <c r="CU5" s="12" t="s">
        <v>472</v>
      </c>
      <c r="CV5" s="17">
        <v>0</v>
      </c>
      <c r="CW5" s="12">
        <v>3.4</v>
      </c>
      <c r="CX5" s="12">
        <v>4.8</v>
      </c>
      <c r="CY5" s="12">
        <v>0.7</v>
      </c>
      <c r="CZ5" s="12">
        <v>0</v>
      </c>
      <c r="DA5" s="12">
        <v>35</v>
      </c>
      <c r="DB5" s="13">
        <f>CZ5/DA5*100</f>
        <v>0</v>
      </c>
      <c r="DC5" s="12">
        <v>0</v>
      </c>
      <c r="DD5" s="12">
        <v>0</v>
      </c>
      <c r="DE5" s="12">
        <v>0</v>
      </c>
      <c r="DF5" s="12">
        <v>0</v>
      </c>
      <c r="DG5" s="12" t="s">
        <v>2304</v>
      </c>
      <c r="DH5" s="16">
        <v>0</v>
      </c>
      <c r="DI5" s="16">
        <v>0</v>
      </c>
      <c r="DJ5" s="11">
        <v>44302</v>
      </c>
      <c r="DK5" s="11"/>
      <c r="DL5" s="12">
        <f>(DJ5-I5)/365.25*12</f>
        <v>123.33470225872691</v>
      </c>
      <c r="DM5" s="12">
        <v>0</v>
      </c>
      <c r="DN5" s="12" t="s">
        <v>357</v>
      </c>
      <c r="DO5" s="12" t="s">
        <v>357</v>
      </c>
      <c r="DP5" s="19" t="s">
        <v>357</v>
      </c>
      <c r="DQ5" s="16">
        <v>0</v>
      </c>
      <c r="DR5" s="11" t="s">
        <v>45</v>
      </c>
      <c r="DS5" s="10">
        <f>IF(DQ5=1, (DR5-$I5)/365.25*12, IF(DQ5=0, $DL5, "ERROR"))</f>
        <v>123.33470225872691</v>
      </c>
      <c r="DT5" s="16">
        <v>0</v>
      </c>
      <c r="DU5" s="16">
        <v>0</v>
      </c>
      <c r="DV5" s="16">
        <v>0</v>
      </c>
      <c r="DW5" s="16">
        <f>DU5*(1-DV5)</f>
        <v>0</v>
      </c>
      <c r="DX5" s="16">
        <f>(1-DU5)*DV5</f>
        <v>0</v>
      </c>
      <c r="DY5" s="16">
        <f>DU5*DV5</f>
        <v>0</v>
      </c>
      <c r="DZ5" s="11" t="s">
        <v>45</v>
      </c>
      <c r="EA5" s="10">
        <f>IF(DT5=1, (DZ5-$I5)/365.25*12, IF(DT5=0, $DL5, "ERROR"))</f>
        <v>123.33470225872691</v>
      </c>
      <c r="EB5" s="16">
        <v>0</v>
      </c>
      <c r="EC5" s="16">
        <v>0</v>
      </c>
      <c r="ED5" s="16">
        <f>1-((1-DQ5)*(1-DT5))</f>
        <v>0</v>
      </c>
      <c r="EE5" s="11" t="s">
        <v>45</v>
      </c>
      <c r="EF5" s="12" t="s">
        <v>357</v>
      </c>
      <c r="EG5" s="16" t="s">
        <v>357</v>
      </c>
      <c r="EH5" s="12" t="s">
        <v>357</v>
      </c>
      <c r="EI5" s="12">
        <v>0</v>
      </c>
      <c r="EJ5" s="16">
        <f>(1-DQ5)*DX5*(1-EI5)</f>
        <v>0</v>
      </c>
      <c r="EK5" s="12" t="s">
        <v>45</v>
      </c>
      <c r="EL5" s="10">
        <f>IF(EI5=1, (EK5-$I5)/365.25*12, IF(EI5=0, $DL5, "ERROR"))</f>
        <v>123.33470225872691</v>
      </c>
      <c r="EM5" s="12" t="s">
        <v>45</v>
      </c>
      <c r="EN5" s="1">
        <v>0</v>
      </c>
      <c r="EO5" s="1">
        <v>0</v>
      </c>
      <c r="EP5" s="1">
        <v>0</v>
      </c>
      <c r="EQ5" s="1">
        <v>0</v>
      </c>
      <c r="ER5" s="1">
        <v>0</v>
      </c>
      <c r="ES5" s="1">
        <v>0</v>
      </c>
      <c r="ET5" s="1">
        <v>0</v>
      </c>
      <c r="EU5" s="1">
        <v>0</v>
      </c>
      <c r="EV5" s="1">
        <v>0</v>
      </c>
      <c r="EW5" s="1">
        <f>1-((1-EP5)*(1-ET5)*(1-EU5)*(1-EV5))</f>
        <v>0</v>
      </c>
      <c r="EX5" s="16">
        <v>0</v>
      </c>
      <c r="EY5" s="7">
        <v>0</v>
      </c>
      <c r="EZ5" s="7">
        <v>0</v>
      </c>
      <c r="FA5" s="7">
        <v>0</v>
      </c>
      <c r="FB5" s="12" t="s">
        <v>45</v>
      </c>
      <c r="FC5" s="12">
        <v>0</v>
      </c>
      <c r="FD5" s="12">
        <v>1</v>
      </c>
      <c r="FE5" s="12"/>
      <c r="FF5" s="30" t="s">
        <v>45</v>
      </c>
      <c r="FG5" s="3">
        <f>IF(FC5=1, FF5, IF(FD5=1, 44348, DJ5))</f>
        <v>44348</v>
      </c>
      <c r="FH5" s="13">
        <f>(FG5-I5)/365.25*12</f>
        <v>124.84599589322383</v>
      </c>
      <c r="FI5" s="13"/>
      <c r="FJ5" s="14">
        <f>IF(OR(DM5,FC5), 1, 0)</f>
        <v>0</v>
      </c>
      <c r="FK5" s="11">
        <f>IF(DM5=1,IF(FC5=1,MIN(DO5,FF5),DO5),IF(FC5=1,FF5,DJ5))</f>
        <v>44302</v>
      </c>
      <c r="FL5" s="13">
        <f>(FK5-$I5)/365.25*12</f>
        <v>123.33470225872691</v>
      </c>
      <c r="FM5" s="14">
        <f>IF(OR(ED5,FC5), 1, 0)</f>
        <v>0</v>
      </c>
      <c r="FN5" s="11">
        <f>IF(ED5=1,IF(FC5=1,MIN(EE5,FF5),EE5),IF(FC5=1,FF5,DJ5))</f>
        <v>44302</v>
      </c>
      <c r="FO5" s="13">
        <f>(FN5-$I5)/365.25*12</f>
        <v>123.33470225872691</v>
      </c>
      <c r="FP5" s="14">
        <f>IF(OR(EI5,FC5), 1, 0)</f>
        <v>0</v>
      </c>
      <c r="FQ5" s="11">
        <f>IF(EI5=1,IF(FC5=1,MIN(EK5,FF5),EK5),IF(FC5=1,FF5,DJ5))</f>
        <v>44302</v>
      </c>
      <c r="FR5" s="13">
        <f>(FQ5-$I5)/365.25*12</f>
        <v>123.33470225872691</v>
      </c>
      <c r="FS5" s="12"/>
      <c r="FT5" s="12"/>
      <c r="FU5" s="12">
        <v>0</v>
      </c>
      <c r="FV5" s="12">
        <v>0</v>
      </c>
      <c r="FW5" s="12">
        <v>0</v>
      </c>
      <c r="FX5" s="12">
        <v>0</v>
      </c>
      <c r="FY5" s="12"/>
      <c r="FZ5" s="12"/>
    </row>
    <row r="6" spans="1:190" ht="12.75" hidden="1" customHeight="1">
      <c r="A6" s="1" t="s">
        <v>2303</v>
      </c>
      <c r="B6" s="12" t="s">
        <v>2302</v>
      </c>
      <c r="C6" s="12">
        <v>20974415</v>
      </c>
      <c r="D6" s="12">
        <v>0</v>
      </c>
      <c r="E6" s="12">
        <v>0</v>
      </c>
      <c r="F6" s="12">
        <v>0</v>
      </c>
      <c r="G6" s="12">
        <v>1</v>
      </c>
      <c r="H6" s="21"/>
      <c r="I6" s="11">
        <v>40716</v>
      </c>
      <c r="J6" s="11">
        <v>40693</v>
      </c>
      <c r="K6" s="11">
        <v>17537</v>
      </c>
      <c r="L6" s="20">
        <f>(DAYS360(K6,I6))/365</f>
        <v>62.594520547945208</v>
      </c>
      <c r="M6" s="12" t="s">
        <v>370</v>
      </c>
      <c r="N6" s="12">
        <v>1</v>
      </c>
      <c r="O6" s="12">
        <v>0</v>
      </c>
      <c r="P6" s="12" t="s">
        <v>410</v>
      </c>
      <c r="Q6" s="12">
        <v>2</v>
      </c>
      <c r="R6" s="12" t="s">
        <v>434</v>
      </c>
      <c r="S6" s="12" t="s">
        <v>2301</v>
      </c>
      <c r="T6" s="12" t="s">
        <v>368</v>
      </c>
      <c r="U6" s="12">
        <v>0</v>
      </c>
      <c r="V6" s="12">
        <v>0</v>
      </c>
      <c r="W6" s="12">
        <v>1</v>
      </c>
      <c r="X6" s="12" t="s">
        <v>2300</v>
      </c>
      <c r="Y6" s="12">
        <v>3</v>
      </c>
      <c r="Z6" s="12">
        <v>1</v>
      </c>
      <c r="AA6" s="12" t="s">
        <v>366</v>
      </c>
      <c r="AB6" s="12" t="s">
        <v>365</v>
      </c>
      <c r="AC6" s="12">
        <v>3</v>
      </c>
      <c r="AD6" s="12"/>
      <c r="AE6" s="12"/>
      <c r="AF6" s="12">
        <v>0</v>
      </c>
      <c r="AG6" s="12">
        <v>0</v>
      </c>
      <c r="AH6" s="12">
        <v>0</v>
      </c>
      <c r="AI6" s="11">
        <v>40716</v>
      </c>
      <c r="AJ6" s="11">
        <v>40753</v>
      </c>
      <c r="AK6" s="19" t="s">
        <v>2299</v>
      </c>
      <c r="AL6" s="19" t="s">
        <v>357</v>
      </c>
      <c r="AM6" s="12">
        <v>1</v>
      </c>
      <c r="AN6" s="12">
        <v>1</v>
      </c>
      <c r="AO6" s="12">
        <v>0</v>
      </c>
      <c r="AP6" s="12">
        <v>0</v>
      </c>
      <c r="AQ6" s="12">
        <v>0</v>
      </c>
      <c r="AR6" s="12">
        <v>0</v>
      </c>
      <c r="AS6" s="12">
        <f>IF(AND(AM6=0,AU6&lt;=2), 1, 0)</f>
        <v>0</v>
      </c>
      <c r="AT6" s="12">
        <v>0</v>
      </c>
      <c r="AU6" s="12">
        <v>4</v>
      </c>
      <c r="AV6" s="12">
        <v>1</v>
      </c>
      <c r="AW6" s="12" t="s">
        <v>2298</v>
      </c>
      <c r="AX6" s="12">
        <v>2</v>
      </c>
      <c r="AY6" s="12">
        <v>1</v>
      </c>
      <c r="AZ6" s="12">
        <v>1</v>
      </c>
      <c r="BA6" s="12">
        <f>1+3.5+0.5</f>
        <v>5</v>
      </c>
      <c r="BB6" s="12">
        <v>144.9</v>
      </c>
      <c r="BC6" s="12">
        <f>8-1.5+0.5</f>
        <v>7</v>
      </c>
      <c r="BD6" s="12">
        <f>7.5-4+0.5</f>
        <v>4</v>
      </c>
      <c r="BE6" s="12">
        <v>428.8</v>
      </c>
      <c r="BF6" s="12" t="s">
        <v>2297</v>
      </c>
      <c r="BG6" s="12" t="s">
        <v>428</v>
      </c>
      <c r="BH6" s="12">
        <v>45</v>
      </c>
      <c r="BI6" s="12">
        <v>5.4</v>
      </c>
      <c r="BJ6" s="12">
        <v>2</v>
      </c>
      <c r="BK6" s="12">
        <f>BH6+BI6</f>
        <v>50.4</v>
      </c>
      <c r="BL6" s="12">
        <f>BK6/1.8</f>
        <v>28</v>
      </c>
      <c r="BM6" s="12">
        <v>1.8</v>
      </c>
      <c r="BN6" s="12" t="s">
        <v>359</v>
      </c>
      <c r="BO6" s="12">
        <v>0</v>
      </c>
      <c r="BP6" s="12">
        <v>1</v>
      </c>
      <c r="BQ6" s="12">
        <v>1</v>
      </c>
      <c r="BR6" s="11">
        <v>40716</v>
      </c>
      <c r="BS6" s="12" t="s">
        <v>78</v>
      </c>
      <c r="BT6" s="12" t="s">
        <v>77</v>
      </c>
      <c r="BU6" s="12">
        <v>6</v>
      </c>
      <c r="BV6" s="12">
        <v>1</v>
      </c>
      <c r="BW6" s="12">
        <v>7.15</v>
      </c>
      <c r="BX6" s="12">
        <v>0.495</v>
      </c>
      <c r="BY6" s="12">
        <v>0.432</v>
      </c>
      <c r="BZ6" s="12">
        <v>11.6</v>
      </c>
      <c r="CA6" s="12">
        <v>258</v>
      </c>
      <c r="CB6" s="12">
        <v>1.67</v>
      </c>
      <c r="CC6" s="12">
        <v>17.3</v>
      </c>
      <c r="CD6" s="12">
        <v>10.6</v>
      </c>
      <c r="CE6" s="12">
        <v>1</v>
      </c>
      <c r="CF6" s="11">
        <v>40786</v>
      </c>
      <c r="CG6" s="7">
        <f>CF6-AJ6</f>
        <v>33</v>
      </c>
      <c r="CH6" s="12" t="s">
        <v>461</v>
      </c>
      <c r="CI6" s="17" t="s">
        <v>460</v>
      </c>
      <c r="CJ6" s="17" t="s">
        <v>515</v>
      </c>
      <c r="CK6" s="12" t="s">
        <v>717</v>
      </c>
      <c r="CL6" s="12" t="s">
        <v>365</v>
      </c>
      <c r="CM6" s="12">
        <v>0</v>
      </c>
      <c r="CN6" s="12"/>
      <c r="CO6" s="12" t="s">
        <v>357</v>
      </c>
      <c r="CP6" s="12"/>
      <c r="CQ6" s="12" t="s">
        <v>2296</v>
      </c>
      <c r="CR6" s="12">
        <v>3.2</v>
      </c>
      <c r="CS6" s="12" t="s">
        <v>1547</v>
      </c>
      <c r="CT6" s="12" t="s">
        <v>455</v>
      </c>
      <c r="CU6" s="12" t="s">
        <v>493</v>
      </c>
      <c r="CV6" s="12">
        <v>0</v>
      </c>
      <c r="CW6" s="12">
        <v>10.8</v>
      </c>
      <c r="CX6" s="12">
        <v>3.9</v>
      </c>
      <c r="CY6" s="12">
        <v>0.1</v>
      </c>
      <c r="CZ6" s="12">
        <v>2</v>
      </c>
      <c r="DA6" s="12">
        <v>44</v>
      </c>
      <c r="DB6" s="13">
        <f>CZ6/DA6*100</f>
        <v>4.5454545454545459</v>
      </c>
      <c r="DC6" s="12">
        <v>0</v>
      </c>
      <c r="DD6" s="12">
        <v>1</v>
      </c>
      <c r="DE6" s="12">
        <v>1</v>
      </c>
      <c r="DF6" s="12">
        <v>0</v>
      </c>
      <c r="DG6" s="12" t="s">
        <v>357</v>
      </c>
      <c r="DH6" s="16">
        <v>1</v>
      </c>
      <c r="DI6" s="16">
        <v>1</v>
      </c>
      <c r="DJ6" s="11">
        <v>41106</v>
      </c>
      <c r="DK6" s="12" t="s">
        <v>2295</v>
      </c>
      <c r="DL6" s="12">
        <f>(DJ6-I6)/365.25*12</f>
        <v>12.813141683778234</v>
      </c>
      <c r="DM6" s="12">
        <v>1</v>
      </c>
      <c r="DN6" s="12" t="s">
        <v>2294</v>
      </c>
      <c r="DO6" s="11">
        <v>41018</v>
      </c>
      <c r="DP6" s="12" t="s">
        <v>415</v>
      </c>
      <c r="DQ6" s="16">
        <v>1</v>
      </c>
      <c r="DR6" s="11">
        <v>41043</v>
      </c>
      <c r="DS6" s="10">
        <f>IF(DQ6=1, (DR6-$I6)/365.25*12, IF(DQ6=0, $DL6, "ERROR"))</f>
        <v>10.743326488706366</v>
      </c>
      <c r="DT6" s="16">
        <v>1</v>
      </c>
      <c r="DU6" s="16">
        <v>1</v>
      </c>
      <c r="DV6" s="16">
        <v>0</v>
      </c>
      <c r="DW6" s="16">
        <f>DU6*(1-DV6)</f>
        <v>1</v>
      </c>
      <c r="DX6" s="16">
        <f>(1-DU6)*DV6</f>
        <v>0</v>
      </c>
      <c r="DY6" s="16">
        <f>DU6*DV6</f>
        <v>0</v>
      </c>
      <c r="DZ6" s="11">
        <v>41043</v>
      </c>
      <c r="EA6" s="10">
        <f>IF(DT6=1, (DZ6-$I6)/365.25*12, IF(DT6=0, $DL6, "ERROR"))</f>
        <v>10.743326488706366</v>
      </c>
      <c r="EB6" s="16">
        <v>1</v>
      </c>
      <c r="EC6" s="16">
        <v>0</v>
      </c>
      <c r="ED6" s="16">
        <f>1-((1-DQ6)*(1-DT6))</f>
        <v>1</v>
      </c>
      <c r="EE6" s="11">
        <f>MIN(DR6,DZ6)</f>
        <v>41043</v>
      </c>
      <c r="EF6" s="12" t="s">
        <v>2293</v>
      </c>
      <c r="EG6" s="16">
        <v>1</v>
      </c>
      <c r="EH6" s="32" t="s">
        <v>2292</v>
      </c>
      <c r="EI6" s="12">
        <v>1</v>
      </c>
      <c r="EJ6" s="16">
        <f>(1-DQ6)*DX6*(1-EI6)</f>
        <v>0</v>
      </c>
      <c r="EK6" s="11">
        <v>41018</v>
      </c>
      <c r="EL6" s="10">
        <f>IF(EI6=1, (EK6-$I6)/365.25*12, IF(EI6=0, $DL6, "ERROR"))</f>
        <v>9.9219712525667347</v>
      </c>
      <c r="EM6" s="12" t="s">
        <v>2241</v>
      </c>
      <c r="EN6" s="16">
        <v>0</v>
      </c>
      <c r="EO6" s="16">
        <v>1</v>
      </c>
      <c r="EP6" s="16">
        <v>0</v>
      </c>
      <c r="EQ6" s="16">
        <v>0</v>
      </c>
      <c r="ER6" s="16">
        <v>0</v>
      </c>
      <c r="ES6" s="16">
        <v>0</v>
      </c>
      <c r="ET6" s="16">
        <v>0</v>
      </c>
      <c r="EU6" s="16">
        <v>0</v>
      </c>
      <c r="EV6" s="16">
        <v>0</v>
      </c>
      <c r="EW6" s="1">
        <f>1-((1-EP6)*(1-ET6)*(1-EU6)*(1-EV6))</f>
        <v>0</v>
      </c>
      <c r="EX6" s="16">
        <v>0</v>
      </c>
      <c r="EY6" s="7">
        <v>0</v>
      </c>
      <c r="EZ6" s="7">
        <v>0</v>
      </c>
      <c r="FA6" s="7">
        <v>0</v>
      </c>
      <c r="FB6" s="12" t="s">
        <v>45</v>
      </c>
      <c r="FC6" s="12">
        <v>1</v>
      </c>
      <c r="FD6" s="12">
        <v>1</v>
      </c>
      <c r="FE6" s="12"/>
      <c r="FF6" s="18">
        <v>41108</v>
      </c>
      <c r="FG6" s="3">
        <f>IF(FC6=1, FF6, IF(FD6=1, 44348, DJ6))</f>
        <v>41108</v>
      </c>
      <c r="FH6" s="13">
        <f>(FG6-I6)/365.25*12</f>
        <v>12.878850102669404</v>
      </c>
      <c r="FI6" s="13"/>
      <c r="FJ6" s="14">
        <f>IF(OR(DM6,FC6), 1, 0)</f>
        <v>1</v>
      </c>
      <c r="FK6" s="11">
        <f>IF(DM6=1,IF(FC6=1,MIN(DO6,FF6),DO6),IF(FC6=1,FF6,DJ6))</f>
        <v>41018</v>
      </c>
      <c r="FL6" s="13">
        <f>(FK6-$I6)/365.25*12</f>
        <v>9.9219712525667347</v>
      </c>
      <c r="FM6" s="14">
        <f>IF(OR(ED6,FC6), 1, 0)</f>
        <v>1</v>
      </c>
      <c r="FN6" s="11">
        <f>IF(ED6=1,IF(FC6=1,MIN(EE6,FF6),EE6),IF(FC6=1,FF6,DJ6))</f>
        <v>41043</v>
      </c>
      <c r="FO6" s="13">
        <f>(FN6-$I6)/365.25*12</f>
        <v>10.743326488706366</v>
      </c>
      <c r="FP6" s="14">
        <f>IF(OR(EI6,FC6), 1, 0)</f>
        <v>1</v>
      </c>
      <c r="FQ6" s="11">
        <f>IF(EI6=1,IF(FC6=1,MIN(EK6,FF6),EK6),IF(FC6=1,FF6,DJ6))</f>
        <v>41018</v>
      </c>
      <c r="FR6" s="13">
        <f>(FQ6-$I6)/365.25*12</f>
        <v>9.9219712525667347</v>
      </c>
      <c r="FS6" s="12"/>
      <c r="FT6" s="12"/>
      <c r="FU6" s="12">
        <v>0</v>
      </c>
      <c r="FV6" s="12">
        <v>0</v>
      </c>
      <c r="FW6" s="12">
        <v>1</v>
      </c>
      <c r="FX6" s="12">
        <v>0</v>
      </c>
      <c r="FY6" s="12" t="s">
        <v>2291</v>
      </c>
      <c r="FZ6" s="12"/>
    </row>
    <row r="7" spans="1:190" ht="12.75" hidden="1" customHeight="1">
      <c r="A7" s="1" t="s">
        <v>2290</v>
      </c>
      <c r="B7" s="12" t="s">
        <v>2289</v>
      </c>
      <c r="C7" s="12">
        <v>42050117</v>
      </c>
      <c r="D7" s="12">
        <v>0</v>
      </c>
      <c r="E7" s="12">
        <v>0</v>
      </c>
      <c r="F7" s="12">
        <v>0</v>
      </c>
      <c r="G7" s="12">
        <v>1</v>
      </c>
      <c r="H7" s="21"/>
      <c r="I7" s="11">
        <v>40801</v>
      </c>
      <c r="J7" s="11">
        <v>40765</v>
      </c>
      <c r="K7" s="11">
        <v>17197</v>
      </c>
      <c r="L7" s="20">
        <f>(DAYS360(K7,I7))/365</f>
        <v>63.739726027397261</v>
      </c>
      <c r="M7" s="12" t="s">
        <v>370</v>
      </c>
      <c r="N7" s="12">
        <v>1</v>
      </c>
      <c r="O7" s="12">
        <v>0</v>
      </c>
      <c r="P7" s="12" t="s">
        <v>423</v>
      </c>
      <c r="Q7" s="12">
        <v>1</v>
      </c>
      <c r="R7" s="12" t="s">
        <v>466</v>
      </c>
      <c r="S7" s="12" t="s">
        <v>2288</v>
      </c>
      <c r="T7" s="12" t="s">
        <v>368</v>
      </c>
      <c r="U7" s="12">
        <v>0</v>
      </c>
      <c r="V7" s="12">
        <v>0</v>
      </c>
      <c r="W7" s="12">
        <v>1</v>
      </c>
      <c r="X7" s="12" t="s">
        <v>1575</v>
      </c>
      <c r="Y7" s="12">
        <v>2</v>
      </c>
      <c r="Z7" s="12">
        <v>2</v>
      </c>
      <c r="AA7" s="12" t="s">
        <v>366</v>
      </c>
      <c r="AB7" s="12" t="s">
        <v>365</v>
      </c>
      <c r="AC7" s="12">
        <v>3</v>
      </c>
      <c r="AD7" s="12" t="s">
        <v>2287</v>
      </c>
      <c r="AE7" s="12" t="s">
        <v>501</v>
      </c>
      <c r="AF7" s="12">
        <v>0</v>
      </c>
      <c r="AG7" s="12">
        <v>0</v>
      </c>
      <c r="AH7" s="12">
        <v>0</v>
      </c>
      <c r="AI7" s="11">
        <v>40801</v>
      </c>
      <c r="AJ7" s="11">
        <v>40844</v>
      </c>
      <c r="AK7" s="19" t="s">
        <v>2286</v>
      </c>
      <c r="AL7" s="19" t="s">
        <v>357</v>
      </c>
      <c r="AM7" s="12">
        <v>1</v>
      </c>
      <c r="AN7" s="12">
        <v>1</v>
      </c>
      <c r="AO7" s="12">
        <v>0</v>
      </c>
      <c r="AP7" s="12">
        <v>0</v>
      </c>
      <c r="AQ7" s="12">
        <v>0</v>
      </c>
      <c r="AR7" s="12">
        <v>0</v>
      </c>
      <c r="AS7" s="12">
        <f>IF(AND(AM7=0,AU7&lt;=2), 1, 0)</f>
        <v>0</v>
      </c>
      <c r="AT7" s="12">
        <v>0</v>
      </c>
      <c r="AU7" s="12">
        <v>2</v>
      </c>
      <c r="AV7" s="12">
        <v>0.5</v>
      </c>
      <c r="AW7" s="12">
        <v>0.5</v>
      </c>
      <c r="AX7" s="12">
        <v>0</v>
      </c>
      <c r="AY7" s="19" t="s">
        <v>357</v>
      </c>
      <c r="AZ7" s="12">
        <v>1</v>
      </c>
      <c r="BA7" s="12">
        <f>10-3.5+0.5</f>
        <v>7</v>
      </c>
      <c r="BB7" s="12">
        <v>151.30000000000001</v>
      </c>
      <c r="BC7" s="12">
        <f>10.5-3+0.5</f>
        <v>8</v>
      </c>
      <c r="BD7" s="12">
        <v>2.5</v>
      </c>
      <c r="BE7" s="12">
        <v>543.5</v>
      </c>
      <c r="BF7" s="12" t="s">
        <v>2285</v>
      </c>
      <c r="BG7" s="12" t="s">
        <v>360</v>
      </c>
      <c r="BH7" s="12">
        <v>45</v>
      </c>
      <c r="BI7" s="12">
        <v>5.4</v>
      </c>
      <c r="BJ7" s="12">
        <v>1</v>
      </c>
      <c r="BK7" s="12">
        <f>BH7+BI7</f>
        <v>50.4</v>
      </c>
      <c r="BL7" s="12">
        <v>28</v>
      </c>
      <c r="BM7" s="12">
        <v>1.8</v>
      </c>
      <c r="BN7" s="12" t="s">
        <v>359</v>
      </c>
      <c r="BO7" s="12">
        <v>0</v>
      </c>
      <c r="BP7" s="12">
        <v>1</v>
      </c>
      <c r="BQ7" s="12">
        <v>1</v>
      </c>
      <c r="BR7" s="11">
        <v>40801</v>
      </c>
      <c r="BS7" s="12" t="s">
        <v>91</v>
      </c>
      <c r="BT7" s="12" t="s">
        <v>90</v>
      </c>
      <c r="BU7" s="12">
        <v>2</v>
      </c>
      <c r="BV7" s="12">
        <v>1</v>
      </c>
      <c r="BW7" s="12">
        <v>6.72</v>
      </c>
      <c r="BX7" s="12">
        <v>0.64500000000000002</v>
      </c>
      <c r="BY7" s="12">
        <v>0.23400000000000001</v>
      </c>
      <c r="BZ7" s="12">
        <v>14</v>
      </c>
      <c r="CA7" s="12">
        <v>268</v>
      </c>
      <c r="CB7" s="12">
        <v>1.76</v>
      </c>
      <c r="CC7" s="12">
        <v>24</v>
      </c>
      <c r="CD7" s="12"/>
      <c r="CE7" s="12">
        <v>1</v>
      </c>
      <c r="CF7" s="11">
        <v>40883</v>
      </c>
      <c r="CG7" s="7">
        <f>CF7-AJ7</f>
        <v>39</v>
      </c>
      <c r="CH7" s="12" t="s">
        <v>2284</v>
      </c>
      <c r="CI7" s="17" t="s">
        <v>460</v>
      </c>
      <c r="CJ7" s="17" t="s">
        <v>515</v>
      </c>
      <c r="CK7" s="12" t="s">
        <v>663</v>
      </c>
      <c r="CL7" s="12" t="s">
        <v>45</v>
      </c>
      <c r="CM7" s="12">
        <v>1</v>
      </c>
      <c r="CN7" s="12"/>
      <c r="CO7" s="17" t="s">
        <v>1558</v>
      </c>
      <c r="CP7" s="17"/>
      <c r="CQ7" s="17" t="s">
        <v>357</v>
      </c>
      <c r="CR7" s="17">
        <v>0</v>
      </c>
      <c r="CS7" s="12" t="s">
        <v>357</v>
      </c>
      <c r="CT7" s="12" t="s">
        <v>357</v>
      </c>
      <c r="CU7" s="12" t="s">
        <v>357</v>
      </c>
      <c r="CV7" s="17">
        <v>0</v>
      </c>
      <c r="CW7" s="12" t="s">
        <v>357</v>
      </c>
      <c r="CX7" s="12" t="s">
        <v>357</v>
      </c>
      <c r="CY7" s="12" t="s">
        <v>357</v>
      </c>
      <c r="CZ7" s="12">
        <v>0</v>
      </c>
      <c r="DA7" s="12">
        <v>24</v>
      </c>
      <c r="DB7" s="13">
        <f>CZ7/DA7*100</f>
        <v>0</v>
      </c>
      <c r="DC7" s="12" t="s">
        <v>357</v>
      </c>
      <c r="DD7" s="12" t="s">
        <v>357</v>
      </c>
      <c r="DE7" s="12" t="s">
        <v>357</v>
      </c>
      <c r="DF7" s="12" t="s">
        <v>357</v>
      </c>
      <c r="DG7" s="12" t="s">
        <v>2283</v>
      </c>
      <c r="DH7" s="16">
        <v>0</v>
      </c>
      <c r="DI7" s="16">
        <v>0</v>
      </c>
      <c r="DJ7" s="11">
        <v>41143</v>
      </c>
      <c r="DK7" s="11" t="s">
        <v>357</v>
      </c>
      <c r="DL7" s="12">
        <f>(DJ7-I7)/365.25*12</f>
        <v>11.236139630390143</v>
      </c>
      <c r="DM7" s="12">
        <v>0</v>
      </c>
      <c r="DN7" s="1" t="s">
        <v>357</v>
      </c>
      <c r="DO7" s="12" t="s">
        <v>357</v>
      </c>
      <c r="DP7" s="12" t="s">
        <v>357</v>
      </c>
      <c r="DQ7" s="16">
        <v>0</v>
      </c>
      <c r="DR7" s="11" t="s">
        <v>45</v>
      </c>
      <c r="DS7" s="10">
        <f>IF(DQ7=1, (DR7-$I7)/365.25*12, IF(DQ7=0, $DL7, "ERROR"))</f>
        <v>11.236139630390143</v>
      </c>
      <c r="DT7" s="16">
        <v>0</v>
      </c>
      <c r="DU7" s="16">
        <v>0</v>
      </c>
      <c r="DV7" s="16">
        <v>0</v>
      </c>
      <c r="DW7" s="16">
        <f>DU7*(1-DV7)</f>
        <v>0</v>
      </c>
      <c r="DX7" s="16">
        <f>(1-DU7)*DV7</f>
        <v>0</v>
      </c>
      <c r="DY7" s="16">
        <f>DU7*DV7</f>
        <v>0</v>
      </c>
      <c r="DZ7" s="11" t="s">
        <v>45</v>
      </c>
      <c r="EA7" s="10">
        <f>IF(DT7=1, (DZ7-$I7)/365.25*12, IF(DT7=0, $DL7, "ERROR"))</f>
        <v>11.236139630390143</v>
      </c>
      <c r="EB7" s="16">
        <v>0</v>
      </c>
      <c r="EC7" s="16">
        <v>0</v>
      </c>
      <c r="ED7" s="16">
        <f>1-((1-DQ7)*(1-DT7))</f>
        <v>0</v>
      </c>
      <c r="EE7" s="11" t="s">
        <v>45</v>
      </c>
      <c r="EF7" s="12" t="s">
        <v>45</v>
      </c>
      <c r="EG7" s="16" t="s">
        <v>45</v>
      </c>
      <c r="EH7" s="12" t="s">
        <v>45</v>
      </c>
      <c r="EI7" s="12">
        <v>0</v>
      </c>
      <c r="EJ7" s="16">
        <f>(1-DQ7)*DX7*(1-EI7)</f>
        <v>0</v>
      </c>
      <c r="EK7" s="12" t="s">
        <v>357</v>
      </c>
      <c r="EL7" s="10">
        <f>IF(EI7=1, (EK7-$I7)/365.25*12, IF(EI7=0, $DL7, "ERROR"))</f>
        <v>11.236139630390143</v>
      </c>
      <c r="EM7" s="12" t="s">
        <v>357</v>
      </c>
      <c r="EN7" s="1">
        <v>0</v>
      </c>
      <c r="EO7" s="1">
        <v>0</v>
      </c>
      <c r="EP7" s="1">
        <v>0</v>
      </c>
      <c r="EQ7" s="1">
        <v>0</v>
      </c>
      <c r="ER7" s="1">
        <v>0</v>
      </c>
      <c r="ES7" s="1">
        <v>0</v>
      </c>
      <c r="ET7" s="1">
        <v>0</v>
      </c>
      <c r="EU7" s="1">
        <v>0</v>
      </c>
      <c r="EV7" s="1">
        <v>0</v>
      </c>
      <c r="EW7" s="1">
        <f>1-((1-EP7)*(1-ET7)*(1-EU7)*(1-EV7))</f>
        <v>0</v>
      </c>
      <c r="EX7" s="16">
        <v>0</v>
      </c>
      <c r="EY7" s="7">
        <v>0</v>
      </c>
      <c r="EZ7" s="7">
        <v>0</v>
      </c>
      <c r="FA7" s="7">
        <v>0</v>
      </c>
      <c r="FB7" s="12" t="s">
        <v>357</v>
      </c>
      <c r="FC7" s="12">
        <v>1</v>
      </c>
      <c r="FD7" s="12">
        <v>1</v>
      </c>
      <c r="FE7" s="12"/>
      <c r="FF7" s="18">
        <v>41183</v>
      </c>
      <c r="FG7" s="3">
        <f>IF(FC7=1, FF7, IF(FD7=1, 44348, DJ7))</f>
        <v>41183</v>
      </c>
      <c r="FH7" s="13">
        <f>(FG7-I7)/365.25*12</f>
        <v>12.550308008213554</v>
      </c>
      <c r="FI7" s="13"/>
      <c r="FJ7" s="14">
        <f>IF(OR(DM7,FC7), 1, 0)</f>
        <v>1</v>
      </c>
      <c r="FK7" s="11">
        <f>IF(DM7=1,IF(FC7=1,MIN(DO7,FF7),DO7),IF(FC7=1,FF7,DJ7))</f>
        <v>41183</v>
      </c>
      <c r="FL7" s="13">
        <f>(FK7-$I7)/365.25*12</f>
        <v>12.550308008213554</v>
      </c>
      <c r="FM7" s="14">
        <f>IF(OR(ED7,FC7), 1, 0)</f>
        <v>1</v>
      </c>
      <c r="FN7" s="11">
        <f>IF(ED7=1,IF(FC7=1,MIN(EE7,FF7),EE7),IF(FC7=1,FF7,DJ7))</f>
        <v>41183</v>
      </c>
      <c r="FO7" s="13">
        <f>(FN7-$I7)/365.25*12</f>
        <v>12.550308008213554</v>
      </c>
      <c r="FP7" s="14">
        <f>IF(OR(EI7,FC7), 1, 0)</f>
        <v>1</v>
      </c>
      <c r="FQ7" s="11">
        <f>IF(EI7=1,IF(FC7=1,MIN(EK7,FF7),EK7),IF(FC7=1,FF7,DJ7))</f>
        <v>41183</v>
      </c>
      <c r="FR7" s="13">
        <f>(FQ7-$I7)/365.25*12</f>
        <v>12.550308008213554</v>
      </c>
      <c r="FS7" s="12"/>
      <c r="FT7" s="12"/>
      <c r="FU7" s="12">
        <v>0</v>
      </c>
      <c r="FV7" s="12">
        <v>0</v>
      </c>
      <c r="FW7" s="12">
        <v>0</v>
      </c>
      <c r="FX7" s="12">
        <v>0</v>
      </c>
      <c r="FY7" s="12" t="s">
        <v>2282</v>
      </c>
      <c r="FZ7" s="12"/>
    </row>
    <row r="8" spans="1:190" ht="12.75" hidden="1" customHeight="1">
      <c r="A8" s="1" t="s">
        <v>2281</v>
      </c>
      <c r="B8" s="12" t="s">
        <v>2280</v>
      </c>
      <c r="C8" s="12">
        <v>42242745</v>
      </c>
      <c r="D8" s="12">
        <v>0</v>
      </c>
      <c r="E8" s="12">
        <v>0</v>
      </c>
      <c r="F8" s="12">
        <v>0</v>
      </c>
      <c r="G8" s="12">
        <v>1</v>
      </c>
      <c r="H8" s="21"/>
      <c r="I8" s="11">
        <v>40826</v>
      </c>
      <c r="J8" s="11">
        <v>40801</v>
      </c>
      <c r="K8" s="11">
        <v>21456</v>
      </c>
      <c r="L8" s="20">
        <f>(DAYS360(K8,I8))/365</f>
        <v>52.30684931506849</v>
      </c>
      <c r="M8" s="12" t="s">
        <v>370</v>
      </c>
      <c r="N8" s="12">
        <v>1</v>
      </c>
      <c r="O8" s="12">
        <v>0</v>
      </c>
      <c r="P8" s="12" t="s">
        <v>423</v>
      </c>
      <c r="Q8" s="12">
        <v>1</v>
      </c>
      <c r="R8" s="12" t="s">
        <v>466</v>
      </c>
      <c r="S8" s="12" t="s">
        <v>2279</v>
      </c>
      <c r="T8" s="12" t="s">
        <v>368</v>
      </c>
      <c r="U8" s="12">
        <v>0</v>
      </c>
      <c r="V8" s="12">
        <v>0</v>
      </c>
      <c r="W8" s="12">
        <v>1</v>
      </c>
      <c r="X8" s="12" t="s">
        <v>2278</v>
      </c>
      <c r="Y8" s="28">
        <v>2</v>
      </c>
      <c r="Z8" s="12">
        <v>1</v>
      </c>
      <c r="AA8" s="12" t="s">
        <v>366</v>
      </c>
      <c r="AB8" s="12" t="s">
        <v>365</v>
      </c>
      <c r="AC8" s="12">
        <v>3</v>
      </c>
      <c r="AD8" s="12" t="s">
        <v>431</v>
      </c>
      <c r="AE8" s="12"/>
      <c r="AF8" s="12">
        <v>0</v>
      </c>
      <c r="AG8" s="12">
        <v>0</v>
      </c>
      <c r="AH8" s="12">
        <v>0</v>
      </c>
      <c r="AI8" s="11">
        <v>40826</v>
      </c>
      <c r="AJ8" s="11">
        <v>40863</v>
      </c>
      <c r="AK8" s="19" t="s">
        <v>2277</v>
      </c>
      <c r="AL8" s="19" t="s">
        <v>357</v>
      </c>
      <c r="AM8" s="12">
        <v>1</v>
      </c>
      <c r="AN8" s="12">
        <v>1</v>
      </c>
      <c r="AO8" s="12">
        <v>0</v>
      </c>
      <c r="AP8" s="12">
        <v>0</v>
      </c>
      <c r="AQ8" s="12">
        <v>0</v>
      </c>
      <c r="AR8" s="12">
        <v>0</v>
      </c>
      <c r="AS8" s="12">
        <f>IF(AND(AM8=0,AU8&lt;=2), 1, 0)</f>
        <v>0</v>
      </c>
      <c r="AT8" s="12">
        <v>0</v>
      </c>
      <c r="AU8" s="12">
        <v>4</v>
      </c>
      <c r="AV8" s="12">
        <v>1</v>
      </c>
      <c r="AW8" s="12">
        <v>1</v>
      </c>
      <c r="AX8" s="12">
        <v>1</v>
      </c>
      <c r="AY8" s="19" t="s">
        <v>357</v>
      </c>
      <c r="AZ8" s="12">
        <v>1</v>
      </c>
      <c r="BA8" s="12">
        <v>3</v>
      </c>
      <c r="BB8" s="12">
        <v>145</v>
      </c>
      <c r="BC8" s="12">
        <v>8</v>
      </c>
      <c r="BD8" s="12">
        <f>6.5-3+0.5</f>
        <v>4</v>
      </c>
      <c r="BE8" s="12">
        <v>418.2</v>
      </c>
      <c r="BF8" s="12" t="s">
        <v>391</v>
      </c>
      <c r="BG8" s="12" t="s">
        <v>360</v>
      </c>
      <c r="BH8" s="12">
        <v>45</v>
      </c>
      <c r="BI8" s="12">
        <v>5.4</v>
      </c>
      <c r="BJ8" s="12">
        <v>1</v>
      </c>
      <c r="BK8" s="12">
        <f>BH8+BI8</f>
        <v>50.4</v>
      </c>
      <c r="BL8" s="12">
        <v>28</v>
      </c>
      <c r="BM8" s="12">
        <v>1.8</v>
      </c>
      <c r="BN8" s="12" t="s">
        <v>359</v>
      </c>
      <c r="BO8" s="12">
        <v>0</v>
      </c>
      <c r="BP8" s="12">
        <v>1</v>
      </c>
      <c r="BQ8" s="12">
        <v>1</v>
      </c>
      <c r="BR8" s="11">
        <v>40826</v>
      </c>
      <c r="BS8" s="12" t="s">
        <v>91</v>
      </c>
      <c r="BT8" s="12" t="s">
        <v>90</v>
      </c>
      <c r="BU8" s="12">
        <v>2</v>
      </c>
      <c r="BV8" s="12">
        <v>1</v>
      </c>
      <c r="BW8" s="12">
        <v>6.27</v>
      </c>
      <c r="BX8" s="12">
        <v>0.53900000000000003</v>
      </c>
      <c r="BY8" s="12">
        <v>0.37</v>
      </c>
      <c r="BZ8" s="12">
        <v>15.3</v>
      </c>
      <c r="CA8" s="12">
        <v>228</v>
      </c>
      <c r="CB8" s="12">
        <v>1.75</v>
      </c>
      <c r="CC8" s="12"/>
      <c r="CD8" s="12">
        <v>5.6</v>
      </c>
      <c r="CE8" s="12">
        <v>1</v>
      </c>
      <c r="CF8" s="11">
        <v>40899</v>
      </c>
      <c r="CG8" s="7">
        <f>CF8-AJ8</f>
        <v>36</v>
      </c>
      <c r="CH8" s="17" t="s">
        <v>461</v>
      </c>
      <c r="CI8" s="17" t="s">
        <v>460</v>
      </c>
      <c r="CJ8" s="17" t="s">
        <v>515</v>
      </c>
      <c r="CK8" s="12" t="s">
        <v>2276</v>
      </c>
      <c r="CL8" s="12" t="s">
        <v>381</v>
      </c>
      <c r="CM8" s="12">
        <v>0</v>
      </c>
      <c r="CN8" s="12"/>
      <c r="CO8" s="12" t="s">
        <v>357</v>
      </c>
      <c r="CP8" s="12"/>
      <c r="CQ8" s="17" t="s">
        <v>2275</v>
      </c>
      <c r="CR8" s="17">
        <v>1.1000000000000001</v>
      </c>
      <c r="CS8" s="12" t="s">
        <v>1581</v>
      </c>
      <c r="CT8" s="12" t="s">
        <v>511</v>
      </c>
      <c r="CU8" s="12" t="s">
        <v>472</v>
      </c>
      <c r="CV8" s="17">
        <v>0</v>
      </c>
      <c r="CW8" s="12">
        <v>3.3</v>
      </c>
      <c r="CX8" s="12">
        <v>7</v>
      </c>
      <c r="CY8" s="12">
        <v>0.6</v>
      </c>
      <c r="CZ8" s="12">
        <v>1</v>
      </c>
      <c r="DA8" s="12">
        <v>21</v>
      </c>
      <c r="DB8" s="13">
        <f>CZ8/DA8*100</f>
        <v>4.7619047619047619</v>
      </c>
      <c r="DC8" s="12">
        <v>0</v>
      </c>
      <c r="DD8" s="12">
        <v>0</v>
      </c>
      <c r="DE8" s="12">
        <v>0</v>
      </c>
      <c r="DF8" s="12">
        <v>0</v>
      </c>
      <c r="DG8" s="12" t="s">
        <v>2274</v>
      </c>
      <c r="DH8" s="16">
        <v>0</v>
      </c>
      <c r="DI8" s="16">
        <v>0</v>
      </c>
      <c r="DJ8" s="11">
        <v>41774</v>
      </c>
      <c r="DK8" s="11"/>
      <c r="DL8" s="12">
        <f>(DJ8-I8)/365.25*12</f>
        <v>31.145790554414781</v>
      </c>
      <c r="DM8" s="12">
        <v>1</v>
      </c>
      <c r="DN8" s="12" t="s">
        <v>2272</v>
      </c>
      <c r="DO8" s="11">
        <v>41774</v>
      </c>
      <c r="DP8" s="19" t="s">
        <v>2273</v>
      </c>
      <c r="DQ8" s="16">
        <v>1</v>
      </c>
      <c r="DR8" s="11">
        <v>41774</v>
      </c>
      <c r="DS8" s="10">
        <f>IF(DQ8=1, (DR8-$I8)/365.25*12, IF(DQ8=0, $DL8, "ERROR"))</f>
        <v>31.145790554414781</v>
      </c>
      <c r="DT8" s="16">
        <v>1</v>
      </c>
      <c r="DU8" s="16">
        <v>1</v>
      </c>
      <c r="DV8" s="16">
        <v>1</v>
      </c>
      <c r="DW8" s="16">
        <f>DU8*(1-DV8)</f>
        <v>0</v>
      </c>
      <c r="DX8" s="16">
        <f>(1-DU8)*DV8</f>
        <v>0</v>
      </c>
      <c r="DY8" s="16">
        <f>DU8*DV8</f>
        <v>1</v>
      </c>
      <c r="DZ8" s="11">
        <v>41774</v>
      </c>
      <c r="EA8" s="10">
        <f>IF(DT8=1, (DZ8-$I8)/365.25*12, IF(DT8=0, $DL8, "ERROR"))</f>
        <v>31.145790554414781</v>
      </c>
      <c r="EB8" s="16">
        <v>1</v>
      </c>
      <c r="EC8" s="16">
        <v>0</v>
      </c>
      <c r="ED8" s="16">
        <f>1-((1-DQ8)*(1-DT8))</f>
        <v>1</v>
      </c>
      <c r="EE8" s="11">
        <f>MIN(DR8,DZ8)</f>
        <v>41774</v>
      </c>
      <c r="EF8" s="12" t="s">
        <v>2272</v>
      </c>
      <c r="EG8" s="16" t="s">
        <v>49</v>
      </c>
      <c r="EH8" s="11" t="s">
        <v>2271</v>
      </c>
      <c r="EI8" s="12">
        <v>1</v>
      </c>
      <c r="EJ8" s="16">
        <f>(1-DQ8)*DX8*(1-EI8)</f>
        <v>0</v>
      </c>
      <c r="EK8" s="11">
        <v>41986</v>
      </c>
      <c r="EL8" s="10">
        <f>IF(EI8=1, (EK8-$I8)/365.25*12, IF(EI8=0, $DL8, "ERROR"))</f>
        <v>38.110882956878847</v>
      </c>
      <c r="EM8" s="11" t="s">
        <v>2270</v>
      </c>
      <c r="EN8" s="16">
        <v>0</v>
      </c>
      <c r="EO8" s="16">
        <v>0</v>
      </c>
      <c r="EP8" s="16">
        <v>0</v>
      </c>
      <c r="EQ8" s="16">
        <v>1</v>
      </c>
      <c r="ER8" s="16">
        <v>1</v>
      </c>
      <c r="ES8" s="16">
        <v>1</v>
      </c>
      <c r="ET8" s="16">
        <v>0</v>
      </c>
      <c r="EU8" s="16">
        <v>0</v>
      </c>
      <c r="EV8" s="16">
        <v>0</v>
      </c>
      <c r="EW8" s="1">
        <f>1-((1-EP8)*(1-ET8)*(1-EU8)*(1-EV8))</f>
        <v>0</v>
      </c>
      <c r="EX8" s="16">
        <v>1</v>
      </c>
      <c r="EY8" s="7">
        <v>0</v>
      </c>
      <c r="EZ8" s="7">
        <v>0</v>
      </c>
      <c r="FA8" s="7">
        <v>0</v>
      </c>
      <c r="FB8" s="11" t="s">
        <v>45</v>
      </c>
      <c r="FC8" s="12">
        <v>1</v>
      </c>
      <c r="FD8" s="12">
        <v>1</v>
      </c>
      <c r="FE8" s="11"/>
      <c r="FF8" s="18">
        <v>42118</v>
      </c>
      <c r="FG8" s="3">
        <f>IF(FC8=1, FF8, IF(FD8=1, 44348, DJ8))</f>
        <v>42118</v>
      </c>
      <c r="FH8" s="13">
        <f>(FG8-I8)/365.25*12</f>
        <v>42.447638603696099</v>
      </c>
      <c r="FI8" s="13"/>
      <c r="FJ8" s="14">
        <f>IF(OR(DM8,FC8), 1, 0)</f>
        <v>1</v>
      </c>
      <c r="FK8" s="11">
        <f>IF(DM8=1,IF(FC8=1,MIN(DO8,FF8),DO8),IF(FC8=1,FF8,DJ8))</f>
        <v>41774</v>
      </c>
      <c r="FL8" s="13">
        <f>(FK8-$I8)/365.25*12</f>
        <v>31.145790554414781</v>
      </c>
      <c r="FM8" s="14">
        <f>IF(OR(ED8,FC8), 1, 0)</f>
        <v>1</v>
      </c>
      <c r="FN8" s="11">
        <f>IF(ED8=1,IF(FC8=1,MIN(EE8,FF8),EE8),IF(FC8=1,FF8,DJ8))</f>
        <v>41774</v>
      </c>
      <c r="FO8" s="13">
        <f>(FN8-$I8)/365.25*12</f>
        <v>31.145790554414781</v>
      </c>
      <c r="FP8" s="14">
        <f>IF(OR(EI8,FC8), 1, 0)</f>
        <v>1</v>
      </c>
      <c r="FQ8" s="11">
        <f>IF(EI8=1,IF(FC8=1,MIN(EK8,FF8),EK8),IF(FC8=1,FF8,DJ8))</f>
        <v>41986</v>
      </c>
      <c r="FR8" s="13">
        <f>(FQ8-$I8)/365.25*12</f>
        <v>38.110882956878847</v>
      </c>
      <c r="FS8" s="12"/>
      <c r="FT8" s="12"/>
      <c r="FU8" s="12">
        <v>1</v>
      </c>
      <c r="FV8" s="12">
        <v>1</v>
      </c>
      <c r="FW8" s="12">
        <v>0</v>
      </c>
      <c r="FX8" s="12">
        <v>0</v>
      </c>
      <c r="FY8" s="12" t="s">
        <v>2269</v>
      </c>
      <c r="FZ8" s="12"/>
    </row>
    <row r="9" spans="1:190" ht="12.75" hidden="1" customHeight="1">
      <c r="A9" s="1" t="s">
        <v>2268</v>
      </c>
      <c r="B9" s="12" t="s">
        <v>2267</v>
      </c>
      <c r="C9" s="12">
        <v>42827331</v>
      </c>
      <c r="D9" s="12">
        <v>0</v>
      </c>
      <c r="E9" s="12">
        <v>0</v>
      </c>
      <c r="F9" s="12">
        <v>0</v>
      </c>
      <c r="G9" s="12">
        <v>1</v>
      </c>
      <c r="H9" s="21"/>
      <c r="I9" s="11">
        <v>40994</v>
      </c>
      <c r="J9" s="11">
        <v>40982</v>
      </c>
      <c r="K9" s="11">
        <v>22920</v>
      </c>
      <c r="L9" s="20">
        <f>(DAYS360(K9,I9))/365</f>
        <v>48.80821917808219</v>
      </c>
      <c r="M9" s="12" t="s">
        <v>370</v>
      </c>
      <c r="N9" s="12">
        <v>1</v>
      </c>
      <c r="O9" s="12">
        <v>0</v>
      </c>
      <c r="P9" s="12" t="s">
        <v>423</v>
      </c>
      <c r="Q9" s="12">
        <v>1</v>
      </c>
      <c r="R9" s="12" t="s">
        <v>466</v>
      </c>
      <c r="S9" s="12">
        <v>35</v>
      </c>
      <c r="T9" s="12" t="s">
        <v>368</v>
      </c>
      <c r="U9" s="12">
        <v>0</v>
      </c>
      <c r="V9" s="12">
        <v>0</v>
      </c>
      <c r="W9" s="12">
        <v>1</v>
      </c>
      <c r="X9" s="12" t="s">
        <v>367</v>
      </c>
      <c r="Y9" s="12">
        <v>3</v>
      </c>
      <c r="Z9" s="12">
        <v>1</v>
      </c>
      <c r="AA9" s="12" t="s">
        <v>366</v>
      </c>
      <c r="AB9" s="12" t="s">
        <v>365</v>
      </c>
      <c r="AC9" s="12">
        <v>3</v>
      </c>
      <c r="AD9" s="12" t="s">
        <v>2266</v>
      </c>
      <c r="AE9" s="12"/>
      <c r="AF9" s="12">
        <v>0</v>
      </c>
      <c r="AG9" s="12">
        <v>0</v>
      </c>
      <c r="AH9" s="12">
        <v>0</v>
      </c>
      <c r="AI9" s="11">
        <v>40994</v>
      </c>
      <c r="AJ9" s="11">
        <v>41033</v>
      </c>
      <c r="AK9" s="19" t="s">
        <v>2265</v>
      </c>
      <c r="AL9" s="19" t="s">
        <v>499</v>
      </c>
      <c r="AM9" s="12">
        <v>1</v>
      </c>
      <c r="AN9" s="12">
        <v>1</v>
      </c>
      <c r="AO9" s="12">
        <v>1</v>
      </c>
      <c r="AP9" s="12">
        <v>0</v>
      </c>
      <c r="AQ9" s="12">
        <v>0</v>
      </c>
      <c r="AR9" s="12">
        <v>0</v>
      </c>
      <c r="AS9" s="12">
        <f>IF(AND(AM9=0,AU9&lt;=2), 1, 0)</f>
        <v>0</v>
      </c>
      <c r="AT9" s="12">
        <v>0</v>
      </c>
      <c r="AU9" s="12">
        <v>4</v>
      </c>
      <c r="AV9" s="12">
        <v>1</v>
      </c>
      <c r="AW9" s="12">
        <v>1</v>
      </c>
      <c r="AX9" s="12">
        <v>1</v>
      </c>
      <c r="AY9" s="19" t="s">
        <v>357</v>
      </c>
      <c r="AZ9" s="12">
        <v>1</v>
      </c>
      <c r="BA9" s="12">
        <f>3.5+11+0.5</f>
        <v>15</v>
      </c>
      <c r="BB9" s="12">
        <v>307.8</v>
      </c>
      <c r="BC9" s="12">
        <v>12.5</v>
      </c>
      <c r="BD9" s="12">
        <f>15-11.5+0.5</f>
        <v>4</v>
      </c>
      <c r="BE9" s="12">
        <v>807.1</v>
      </c>
      <c r="BF9" s="12" t="s">
        <v>2264</v>
      </c>
      <c r="BG9" s="12" t="s">
        <v>360</v>
      </c>
      <c r="BH9" s="12">
        <v>45</v>
      </c>
      <c r="BI9" s="12">
        <v>5.4</v>
      </c>
      <c r="BJ9" s="12">
        <v>1</v>
      </c>
      <c r="BK9" s="12">
        <f>BH9+BI9</f>
        <v>50.4</v>
      </c>
      <c r="BL9" s="12">
        <v>28</v>
      </c>
      <c r="BM9" s="12">
        <v>1.8</v>
      </c>
      <c r="BN9" s="12" t="s">
        <v>359</v>
      </c>
      <c r="BO9" s="12">
        <v>0</v>
      </c>
      <c r="BP9" s="12">
        <v>1</v>
      </c>
      <c r="BQ9" s="12">
        <v>1</v>
      </c>
      <c r="BR9" s="11">
        <v>40994</v>
      </c>
      <c r="BS9" s="12" t="s">
        <v>91</v>
      </c>
      <c r="BT9" s="12" t="s">
        <v>90</v>
      </c>
      <c r="BU9" s="12">
        <v>2</v>
      </c>
      <c r="BV9" s="12">
        <v>1</v>
      </c>
      <c r="BW9" s="12">
        <v>11.2</v>
      </c>
      <c r="BX9" s="12">
        <v>0.71</v>
      </c>
      <c r="BY9" s="12">
        <v>0.18</v>
      </c>
      <c r="BZ9" s="12">
        <v>13.7</v>
      </c>
      <c r="CA9" s="12">
        <v>415</v>
      </c>
      <c r="CB9" s="12">
        <v>1.73</v>
      </c>
      <c r="CC9" s="12">
        <v>15.8</v>
      </c>
      <c r="CD9" s="12">
        <v>13.6</v>
      </c>
      <c r="CE9" s="12">
        <v>1</v>
      </c>
      <c r="CF9" s="11">
        <v>41068</v>
      </c>
      <c r="CG9" s="7">
        <f>CF9-AJ9</f>
        <v>35</v>
      </c>
      <c r="CH9" s="17" t="s">
        <v>461</v>
      </c>
      <c r="CI9" s="17" t="s">
        <v>460</v>
      </c>
      <c r="CJ9" s="17" t="s">
        <v>182</v>
      </c>
      <c r="CK9" s="12" t="s">
        <v>663</v>
      </c>
      <c r="CL9" s="12" t="s">
        <v>45</v>
      </c>
      <c r="CM9" s="12">
        <v>1</v>
      </c>
      <c r="CN9" s="12"/>
      <c r="CO9" s="17" t="s">
        <v>1558</v>
      </c>
      <c r="CP9" s="17"/>
      <c r="CQ9" s="17" t="s">
        <v>357</v>
      </c>
      <c r="CR9" s="17">
        <v>0</v>
      </c>
      <c r="CS9" s="12" t="s">
        <v>357</v>
      </c>
      <c r="CT9" s="12" t="s">
        <v>357</v>
      </c>
      <c r="CU9" s="12" t="s">
        <v>357</v>
      </c>
      <c r="CV9" s="17">
        <v>0</v>
      </c>
      <c r="CW9" s="12" t="s">
        <v>357</v>
      </c>
      <c r="CX9" s="12" t="s">
        <v>357</v>
      </c>
      <c r="CY9" s="12" t="s">
        <v>357</v>
      </c>
      <c r="CZ9" s="12">
        <v>0</v>
      </c>
      <c r="DA9" s="12">
        <v>65</v>
      </c>
      <c r="DB9" s="13">
        <f>CZ9/DA9*100</f>
        <v>0</v>
      </c>
      <c r="DC9" s="12" t="s">
        <v>357</v>
      </c>
      <c r="DD9" s="12" t="s">
        <v>357</v>
      </c>
      <c r="DE9" s="12" t="s">
        <v>357</v>
      </c>
      <c r="DF9" s="12" t="s">
        <v>357</v>
      </c>
      <c r="DG9" s="12" t="s">
        <v>2263</v>
      </c>
      <c r="DH9" s="16">
        <v>0</v>
      </c>
      <c r="DI9" s="16">
        <v>0</v>
      </c>
      <c r="DJ9" s="11">
        <v>41717</v>
      </c>
      <c r="DK9" s="11" t="s">
        <v>2262</v>
      </c>
      <c r="DL9" s="12">
        <f>(DJ9-I9)/365.25*12</f>
        <v>23.753593429158112</v>
      </c>
      <c r="DM9" s="12">
        <v>0</v>
      </c>
      <c r="DN9" s="12" t="s">
        <v>357</v>
      </c>
      <c r="DO9" s="12" t="s">
        <v>357</v>
      </c>
      <c r="DP9" s="12" t="s">
        <v>357</v>
      </c>
      <c r="DQ9" s="16">
        <v>0</v>
      </c>
      <c r="DR9" s="11" t="s">
        <v>45</v>
      </c>
      <c r="DS9" s="10">
        <f>IF(DQ9=1, (DR9-$I9)/365.25*12, IF(DQ9=0, $DL9, "ERROR"))</f>
        <v>23.753593429158112</v>
      </c>
      <c r="DT9" s="16">
        <v>0</v>
      </c>
      <c r="DU9" s="16">
        <v>0</v>
      </c>
      <c r="DV9" s="16">
        <v>0</v>
      </c>
      <c r="DW9" s="16">
        <f>DU9*(1-DV9)</f>
        <v>0</v>
      </c>
      <c r="DX9" s="16">
        <f>(1-DU9)*DV9</f>
        <v>0</v>
      </c>
      <c r="DY9" s="16">
        <f>DU9*DV9</f>
        <v>0</v>
      </c>
      <c r="DZ9" s="11" t="s">
        <v>45</v>
      </c>
      <c r="EA9" s="10">
        <f>IF(DT9=1, (DZ9-$I9)/365.25*12, IF(DT9=0, $DL9, "ERROR"))</f>
        <v>23.753593429158112</v>
      </c>
      <c r="EB9" s="16">
        <v>0</v>
      </c>
      <c r="EC9" s="16">
        <v>0</v>
      </c>
      <c r="ED9" s="16">
        <f>1-((1-DQ9)*(1-DT9))</f>
        <v>0</v>
      </c>
      <c r="EE9" s="11" t="s">
        <v>45</v>
      </c>
      <c r="EF9" s="12" t="s">
        <v>357</v>
      </c>
      <c r="EG9" s="16" t="s">
        <v>45</v>
      </c>
      <c r="EH9" s="12" t="s">
        <v>45</v>
      </c>
      <c r="EI9" s="12">
        <v>0</v>
      </c>
      <c r="EJ9" s="16">
        <f>(1-DQ9)*DX9*(1-EI9)</f>
        <v>0</v>
      </c>
      <c r="EK9" s="12" t="s">
        <v>357</v>
      </c>
      <c r="EL9" s="10">
        <f>IF(EI9=1, (EK9-$I9)/365.25*12, IF(EI9=0, $DL9, "ERROR"))</f>
        <v>23.753593429158112</v>
      </c>
      <c r="EM9" s="12" t="s">
        <v>357</v>
      </c>
      <c r="EN9" s="1">
        <v>0</v>
      </c>
      <c r="EO9" s="1">
        <v>0</v>
      </c>
      <c r="EP9" s="1">
        <v>0</v>
      </c>
      <c r="EQ9" s="1">
        <v>0</v>
      </c>
      <c r="ER9" s="1">
        <v>0</v>
      </c>
      <c r="ES9" s="1">
        <v>0</v>
      </c>
      <c r="ET9" s="1">
        <v>0</v>
      </c>
      <c r="EU9" s="1">
        <v>0</v>
      </c>
      <c r="EV9" s="1">
        <v>0</v>
      </c>
      <c r="EW9" s="1">
        <f>1-((1-EP9)*(1-ET9)*(1-EU9)*(1-EV9))</f>
        <v>0</v>
      </c>
      <c r="EX9" s="16">
        <v>0</v>
      </c>
      <c r="EY9" s="7">
        <v>0</v>
      </c>
      <c r="EZ9" s="7">
        <v>0</v>
      </c>
      <c r="FA9" s="7">
        <v>0</v>
      </c>
      <c r="FB9" s="12" t="s">
        <v>357</v>
      </c>
      <c r="FC9" s="12">
        <v>1</v>
      </c>
      <c r="FD9" s="12">
        <v>1</v>
      </c>
      <c r="FE9" s="12" t="s">
        <v>2261</v>
      </c>
      <c r="FF9" s="18">
        <v>41716</v>
      </c>
      <c r="FG9" s="3">
        <f>IF(FC9=1, FF9, IF(FD9=1, 44348, DJ9))</f>
        <v>41716</v>
      </c>
      <c r="FH9" s="13">
        <f>(FG9-I9)/365.25*12</f>
        <v>23.720739219712527</v>
      </c>
      <c r="FI9" s="13"/>
      <c r="FJ9" s="14">
        <f>IF(OR(DM9,FC9), 1, 0)</f>
        <v>1</v>
      </c>
      <c r="FK9" s="11">
        <f>IF(DM9=1,IF(FC9=1,MIN(DO9,FF9),DO9),IF(FC9=1,FF9,DJ9))</f>
        <v>41716</v>
      </c>
      <c r="FL9" s="13">
        <f>(FK9-$I9)/365.25*12</f>
        <v>23.720739219712527</v>
      </c>
      <c r="FM9" s="14">
        <f>IF(OR(ED9,FC9), 1, 0)</f>
        <v>1</v>
      </c>
      <c r="FN9" s="11">
        <f>IF(ED9=1,IF(FC9=1,MIN(EE9,FF9),EE9),IF(FC9=1,FF9,DJ9))</f>
        <v>41716</v>
      </c>
      <c r="FO9" s="13">
        <f>(FN9-$I9)/365.25*12</f>
        <v>23.720739219712527</v>
      </c>
      <c r="FP9" s="14">
        <f>IF(OR(EI9,FC9), 1, 0)</f>
        <v>1</v>
      </c>
      <c r="FQ9" s="11">
        <f>IF(EI9=1,IF(FC9=1,MIN(EK9,FF9),EK9),IF(FC9=1,FF9,DJ9))</f>
        <v>41716</v>
      </c>
      <c r="FR9" s="13">
        <f>(FQ9-$I9)/365.25*12</f>
        <v>23.720739219712527</v>
      </c>
      <c r="FS9" s="12"/>
      <c r="FT9" s="12"/>
      <c r="FU9" s="12">
        <v>1</v>
      </c>
      <c r="FV9" s="12">
        <v>1</v>
      </c>
      <c r="FW9" s="12">
        <v>0</v>
      </c>
      <c r="FX9" s="12">
        <v>0</v>
      </c>
      <c r="FY9" s="12" t="s">
        <v>2260</v>
      </c>
      <c r="FZ9" s="12"/>
    </row>
    <row r="10" spans="1:190" ht="12.75" hidden="1" customHeight="1">
      <c r="A10" s="1" t="s">
        <v>2259</v>
      </c>
      <c r="B10" s="12" t="s">
        <v>2258</v>
      </c>
      <c r="C10" s="12">
        <v>42853114</v>
      </c>
      <c r="D10" s="12">
        <v>0</v>
      </c>
      <c r="E10" s="12">
        <v>0</v>
      </c>
      <c r="F10" s="12">
        <v>0</v>
      </c>
      <c r="G10" s="12">
        <v>1</v>
      </c>
      <c r="H10" s="21"/>
      <c r="I10" s="11">
        <v>40996</v>
      </c>
      <c r="J10" s="11">
        <v>40976</v>
      </c>
      <c r="K10" s="11">
        <v>20778</v>
      </c>
      <c r="L10" s="20">
        <f>(DAYS360(K10,I10))/365</f>
        <v>54.6</v>
      </c>
      <c r="M10" s="12" t="s">
        <v>370</v>
      </c>
      <c r="N10" s="12">
        <v>1</v>
      </c>
      <c r="O10" s="12">
        <v>0</v>
      </c>
      <c r="P10" s="12" t="s">
        <v>410</v>
      </c>
      <c r="Q10" s="12">
        <v>2</v>
      </c>
      <c r="R10" s="12" t="s">
        <v>466</v>
      </c>
      <c r="S10" s="12" t="s">
        <v>2257</v>
      </c>
      <c r="T10" s="12" t="s">
        <v>368</v>
      </c>
      <c r="U10" s="12">
        <v>0</v>
      </c>
      <c r="V10" s="12">
        <v>0</v>
      </c>
      <c r="W10" s="12">
        <v>1</v>
      </c>
      <c r="X10" s="12" t="s">
        <v>367</v>
      </c>
      <c r="Y10" s="12">
        <v>3</v>
      </c>
      <c r="Z10" s="12">
        <v>1</v>
      </c>
      <c r="AA10" s="12" t="s">
        <v>366</v>
      </c>
      <c r="AB10" s="12" t="s">
        <v>365</v>
      </c>
      <c r="AC10" s="12">
        <v>3</v>
      </c>
      <c r="AD10" s="12" t="s">
        <v>2256</v>
      </c>
      <c r="AE10" s="12" t="s">
        <v>479</v>
      </c>
      <c r="AF10" s="12">
        <v>0</v>
      </c>
      <c r="AG10" s="12">
        <v>0</v>
      </c>
      <c r="AH10" s="12">
        <v>0</v>
      </c>
      <c r="AI10" s="11">
        <v>40996</v>
      </c>
      <c r="AJ10" s="11">
        <v>41037</v>
      </c>
      <c r="AK10" s="19" t="s">
        <v>2255</v>
      </c>
      <c r="AL10" s="19" t="s">
        <v>357</v>
      </c>
      <c r="AM10" s="12">
        <v>0</v>
      </c>
      <c r="AN10" s="12">
        <v>0</v>
      </c>
      <c r="AO10" s="12">
        <v>0</v>
      </c>
      <c r="AP10" s="12">
        <v>0</v>
      </c>
      <c r="AQ10" s="12">
        <v>1</v>
      </c>
      <c r="AR10" s="12">
        <v>0</v>
      </c>
      <c r="AS10" s="12">
        <f>IF(AND(AM10=0,AU10&lt;=2), 1, 0)</f>
        <v>0</v>
      </c>
      <c r="AT10" s="12">
        <v>0</v>
      </c>
      <c r="AU10" s="12">
        <v>4</v>
      </c>
      <c r="AV10" s="12">
        <v>1</v>
      </c>
      <c r="AW10" s="12">
        <v>1</v>
      </c>
      <c r="AX10" s="12">
        <v>1</v>
      </c>
      <c r="AY10" s="19" t="s">
        <v>357</v>
      </c>
      <c r="AZ10" s="12">
        <v>1</v>
      </c>
      <c r="BA10" s="12">
        <f>1.5+7+0.5</f>
        <v>9</v>
      </c>
      <c r="BB10" s="12">
        <v>393.3</v>
      </c>
      <c r="BC10" s="12">
        <f>13.5-7.5+0.5</f>
        <v>6.5</v>
      </c>
      <c r="BD10" s="12">
        <v>2</v>
      </c>
      <c r="BE10" s="12">
        <v>903.4</v>
      </c>
      <c r="BF10" s="12" t="s">
        <v>1614</v>
      </c>
      <c r="BG10" s="12" t="s">
        <v>360</v>
      </c>
      <c r="BH10" s="12">
        <v>45</v>
      </c>
      <c r="BI10" s="12">
        <v>5.4</v>
      </c>
      <c r="BJ10" s="12">
        <v>1</v>
      </c>
      <c r="BK10" s="12">
        <f>BH10+BI10</f>
        <v>50.4</v>
      </c>
      <c r="BL10" s="12">
        <v>28</v>
      </c>
      <c r="BM10" s="12">
        <v>1.8</v>
      </c>
      <c r="BN10" s="12" t="s">
        <v>359</v>
      </c>
      <c r="BO10" s="12">
        <v>0</v>
      </c>
      <c r="BP10" s="12">
        <v>1</v>
      </c>
      <c r="BQ10" s="12">
        <v>1</v>
      </c>
      <c r="BR10" s="11">
        <v>40996</v>
      </c>
      <c r="BS10" s="12" t="s">
        <v>91</v>
      </c>
      <c r="BT10" s="12" t="s">
        <v>90</v>
      </c>
      <c r="BU10" s="12">
        <v>2</v>
      </c>
      <c r="BV10" s="12">
        <v>1</v>
      </c>
      <c r="BW10" s="12">
        <v>7.5</v>
      </c>
      <c r="BX10" s="12">
        <v>0.72299999999999998</v>
      </c>
      <c r="BY10" s="12">
        <v>0.17599999999999999</v>
      </c>
      <c r="BZ10" s="12">
        <v>14.6</v>
      </c>
      <c r="CA10" s="12">
        <v>350</v>
      </c>
      <c r="CB10" s="12">
        <v>1.62</v>
      </c>
      <c r="CC10" s="12"/>
      <c r="CD10" s="12">
        <v>6.1</v>
      </c>
      <c r="CE10" s="12">
        <v>1</v>
      </c>
      <c r="CF10" s="11">
        <v>41082</v>
      </c>
      <c r="CG10" s="7">
        <f>CF10-AJ10</f>
        <v>45</v>
      </c>
      <c r="CH10" s="12" t="s">
        <v>2254</v>
      </c>
      <c r="CI10" s="17" t="s">
        <v>460</v>
      </c>
      <c r="CJ10" s="17" t="s">
        <v>515</v>
      </c>
      <c r="CK10" s="12" t="s">
        <v>2253</v>
      </c>
      <c r="CL10" s="12" t="s">
        <v>716</v>
      </c>
      <c r="CM10" s="12">
        <v>0</v>
      </c>
      <c r="CN10" s="12"/>
      <c r="CO10" s="17" t="s">
        <v>1549</v>
      </c>
      <c r="CP10" s="17"/>
      <c r="CQ10" s="17" t="s">
        <v>2252</v>
      </c>
      <c r="CR10" s="17">
        <v>1.1000000000000001</v>
      </c>
      <c r="CS10" s="12" t="s">
        <v>1623</v>
      </c>
      <c r="CT10" s="12" t="s">
        <v>511</v>
      </c>
      <c r="CU10" s="12" t="s">
        <v>472</v>
      </c>
      <c r="CV10" s="17">
        <v>0</v>
      </c>
      <c r="CW10" s="12">
        <v>0.1</v>
      </c>
      <c r="CX10" s="12">
        <v>5.4</v>
      </c>
      <c r="CY10" s="12">
        <v>0.1</v>
      </c>
      <c r="CZ10" s="12">
        <v>6</v>
      </c>
      <c r="DA10" s="12">
        <v>25</v>
      </c>
      <c r="DB10" s="13">
        <f>CZ10/DA10*100</f>
        <v>24</v>
      </c>
      <c r="DC10" s="12">
        <v>1</v>
      </c>
      <c r="DD10" s="12">
        <v>0</v>
      </c>
      <c r="DE10" s="12">
        <v>0</v>
      </c>
      <c r="DF10" s="12">
        <v>0</v>
      </c>
      <c r="DG10" s="12" t="s">
        <v>2251</v>
      </c>
      <c r="DH10" s="16">
        <v>0</v>
      </c>
      <c r="DI10" s="16">
        <v>0</v>
      </c>
      <c r="DJ10" s="11">
        <v>41089</v>
      </c>
      <c r="DK10" s="11"/>
      <c r="DL10" s="12">
        <f>(DJ10-I10)/365.25*12</f>
        <v>3.055441478439425</v>
      </c>
      <c r="DM10" s="12">
        <v>1</v>
      </c>
      <c r="DN10" s="12" t="s">
        <v>2250</v>
      </c>
      <c r="DO10" s="11">
        <v>41089</v>
      </c>
      <c r="DP10" s="19" t="s">
        <v>45</v>
      </c>
      <c r="DQ10" s="16">
        <v>0</v>
      </c>
      <c r="DR10" s="11" t="s">
        <v>45</v>
      </c>
      <c r="DS10" s="10">
        <f>IF(DQ10=1, (DR10-$I10)/365.25*12, IF(DQ10=0, $DL10, "ERROR"))</f>
        <v>3.055441478439425</v>
      </c>
      <c r="DT10" s="16">
        <v>0</v>
      </c>
      <c r="DU10" s="16">
        <v>0</v>
      </c>
      <c r="DV10" s="16">
        <v>0</v>
      </c>
      <c r="DW10" s="16">
        <f>DU10*(1-DV10)</f>
        <v>0</v>
      </c>
      <c r="DX10" s="16">
        <f>(1-DU10)*DV10</f>
        <v>0</v>
      </c>
      <c r="DY10" s="16">
        <f>DU10*DV10</f>
        <v>0</v>
      </c>
      <c r="DZ10" s="11" t="s">
        <v>45</v>
      </c>
      <c r="EA10" s="10">
        <f>IF(DT10=1, (DZ10-$I10)/365.25*12, IF(DT10=0, $DL10, "ERROR"))</f>
        <v>3.055441478439425</v>
      </c>
      <c r="EB10" s="16">
        <v>0</v>
      </c>
      <c r="EC10" s="16">
        <v>0</v>
      </c>
      <c r="ED10" s="16">
        <f>1-((1-DQ10)*(1-DT10))</f>
        <v>0</v>
      </c>
      <c r="EE10" s="11" t="s">
        <v>45</v>
      </c>
      <c r="EF10" s="11" t="s">
        <v>45</v>
      </c>
      <c r="EG10" s="16" t="s">
        <v>45</v>
      </c>
      <c r="EH10" s="11" t="s">
        <v>45</v>
      </c>
      <c r="EI10" s="12">
        <v>1</v>
      </c>
      <c r="EJ10" s="16">
        <f>(1-DQ10)*DX10*(1-EI10)</f>
        <v>0</v>
      </c>
      <c r="EK10" s="11">
        <v>41089</v>
      </c>
      <c r="EL10" s="10">
        <f>IF(EI10=1, (EK10-$I10)/365.25*12, IF(EI10=0, $DL10, "ERROR"))</f>
        <v>3.055441478439425</v>
      </c>
      <c r="EM10" s="11" t="s">
        <v>898</v>
      </c>
      <c r="EN10" s="16">
        <v>0</v>
      </c>
      <c r="EO10" s="16">
        <v>0</v>
      </c>
      <c r="EP10" s="16">
        <v>0</v>
      </c>
      <c r="EQ10" s="16">
        <v>1</v>
      </c>
      <c r="ER10" s="16">
        <v>0</v>
      </c>
      <c r="ES10" s="16">
        <v>0</v>
      </c>
      <c r="ET10" s="16">
        <v>0</v>
      </c>
      <c r="EU10" s="16">
        <v>0</v>
      </c>
      <c r="EV10" s="16">
        <v>0</v>
      </c>
      <c r="EW10" s="1">
        <f>1-((1-EP10)*(1-ET10)*(1-EU10)*(1-EV10))</f>
        <v>0</v>
      </c>
      <c r="EX10" s="16">
        <v>0</v>
      </c>
      <c r="EY10" s="7">
        <v>0</v>
      </c>
      <c r="EZ10" s="7">
        <v>0</v>
      </c>
      <c r="FA10" s="7">
        <v>0</v>
      </c>
      <c r="FB10" s="11" t="s">
        <v>45</v>
      </c>
      <c r="FC10" s="12">
        <v>1</v>
      </c>
      <c r="FD10" s="12">
        <v>1</v>
      </c>
      <c r="FE10" s="11"/>
      <c r="FF10" s="18">
        <v>41140</v>
      </c>
      <c r="FG10" s="3">
        <f>IF(FC10=1, FF10, IF(FD10=1, 44348, DJ10))</f>
        <v>41140</v>
      </c>
      <c r="FH10" s="13">
        <f>(FG10-I10)/365.25*12</f>
        <v>4.731006160164271</v>
      </c>
      <c r="FI10" s="13"/>
      <c r="FJ10" s="14">
        <f>IF(OR(DM10,FC10), 1, 0)</f>
        <v>1</v>
      </c>
      <c r="FK10" s="11">
        <f>IF(DM10=1,IF(FC10=1,MIN(DO10,FF10),DO10),IF(FC10=1,FF10,DJ10))</f>
        <v>41089</v>
      </c>
      <c r="FL10" s="13">
        <f>(FK10-$I10)/365.25*12</f>
        <v>3.055441478439425</v>
      </c>
      <c r="FM10" s="14">
        <f>IF(OR(ED10,FC10), 1, 0)</f>
        <v>1</v>
      </c>
      <c r="FN10" s="11">
        <f>IF(ED10=1,IF(FC10=1,MIN(EE10,FF10),EE10),IF(FC10=1,FF10,DJ10))</f>
        <v>41140</v>
      </c>
      <c r="FO10" s="13">
        <f>(FN10-$I10)/365.25*12</f>
        <v>4.731006160164271</v>
      </c>
      <c r="FP10" s="14">
        <f>IF(OR(EI10,FC10), 1, 0)</f>
        <v>1</v>
      </c>
      <c r="FQ10" s="11">
        <f>IF(EI10=1,IF(FC10=1,MIN(EK10,FF10),EK10),IF(FC10=1,FF10,DJ10))</f>
        <v>41089</v>
      </c>
      <c r="FR10" s="13">
        <f>(FQ10-$I10)/365.25*12</f>
        <v>3.055441478439425</v>
      </c>
      <c r="FS10" s="12"/>
      <c r="FT10" s="12"/>
      <c r="FU10" s="12">
        <v>0</v>
      </c>
      <c r="FV10" s="12">
        <v>0</v>
      </c>
      <c r="FW10" s="12">
        <v>0</v>
      </c>
      <c r="FX10" s="12">
        <v>0</v>
      </c>
      <c r="FY10" s="12" t="s">
        <v>2249</v>
      </c>
      <c r="FZ10" s="12"/>
    </row>
    <row r="11" spans="1:190" ht="12.75" hidden="1" customHeight="1">
      <c r="A11" s="1" t="s">
        <v>2248</v>
      </c>
      <c r="B11" s="12" t="s">
        <v>2247</v>
      </c>
      <c r="C11" s="12">
        <v>43093768</v>
      </c>
      <c r="D11" s="12">
        <v>0</v>
      </c>
      <c r="E11" s="12">
        <v>0</v>
      </c>
      <c r="F11" s="12">
        <v>0</v>
      </c>
      <c r="G11" s="12">
        <v>1</v>
      </c>
      <c r="H11" s="21"/>
      <c r="I11" s="11">
        <v>41071</v>
      </c>
      <c r="J11" s="11">
        <v>41052</v>
      </c>
      <c r="K11" s="11">
        <v>15685</v>
      </c>
      <c r="L11" s="20">
        <f>(DAYS360(K11,I11))/365</f>
        <v>68.550684931506851</v>
      </c>
      <c r="M11" s="12" t="s">
        <v>370</v>
      </c>
      <c r="N11" s="12">
        <v>1</v>
      </c>
      <c r="O11" s="12">
        <v>0</v>
      </c>
      <c r="P11" s="12" t="s">
        <v>447</v>
      </c>
      <c r="Q11" s="12">
        <v>1</v>
      </c>
      <c r="R11" s="12" t="s">
        <v>466</v>
      </c>
      <c r="S11" s="12">
        <v>38</v>
      </c>
      <c r="T11" s="12" t="s">
        <v>368</v>
      </c>
      <c r="U11" s="12">
        <v>0</v>
      </c>
      <c r="V11" s="12">
        <v>0</v>
      </c>
      <c r="W11" s="12">
        <v>1</v>
      </c>
      <c r="X11" s="12" t="s">
        <v>637</v>
      </c>
      <c r="Y11" s="12">
        <v>3</v>
      </c>
      <c r="Z11" s="12">
        <v>0</v>
      </c>
      <c r="AA11" s="12" t="s">
        <v>65</v>
      </c>
      <c r="AB11" s="12" t="s">
        <v>701</v>
      </c>
      <c r="AC11" s="12">
        <v>2</v>
      </c>
      <c r="AD11" s="12"/>
      <c r="AE11" s="12"/>
      <c r="AF11" s="12">
        <v>0</v>
      </c>
      <c r="AG11" s="12">
        <v>0</v>
      </c>
      <c r="AH11" s="12">
        <v>0</v>
      </c>
      <c r="AI11" s="11">
        <v>41071</v>
      </c>
      <c r="AJ11" s="11">
        <v>41109</v>
      </c>
      <c r="AK11" s="19" t="s">
        <v>2246</v>
      </c>
      <c r="AL11" s="19" t="s">
        <v>357</v>
      </c>
      <c r="AM11" s="12">
        <v>0</v>
      </c>
      <c r="AN11" s="12">
        <v>0</v>
      </c>
      <c r="AO11" s="12">
        <v>0</v>
      </c>
      <c r="AP11" s="12">
        <v>0</v>
      </c>
      <c r="AQ11" s="12">
        <v>0</v>
      </c>
      <c r="AR11" s="12">
        <v>0</v>
      </c>
      <c r="AS11" s="12">
        <v>0</v>
      </c>
      <c r="AT11" s="12">
        <v>0</v>
      </c>
      <c r="AU11" s="19" t="s">
        <v>1589</v>
      </c>
      <c r="AV11" s="12">
        <v>1</v>
      </c>
      <c r="AW11" s="12"/>
      <c r="AX11" s="12">
        <v>1</v>
      </c>
      <c r="AY11" s="19" t="s">
        <v>357</v>
      </c>
      <c r="AZ11" s="12">
        <v>1</v>
      </c>
      <c r="BA11" s="12">
        <f>12-7+0.5</f>
        <v>5.5</v>
      </c>
      <c r="BB11" s="12">
        <v>171.9</v>
      </c>
      <c r="BC11" s="12">
        <v>7</v>
      </c>
      <c r="BD11" s="12">
        <v>2</v>
      </c>
      <c r="BE11" s="12">
        <v>404.8</v>
      </c>
      <c r="BF11" s="12" t="s">
        <v>2245</v>
      </c>
      <c r="BG11" s="12" t="s">
        <v>360</v>
      </c>
      <c r="BH11" s="12">
        <v>45</v>
      </c>
      <c r="BI11" s="12">
        <v>5.4</v>
      </c>
      <c r="BJ11" s="12">
        <v>1</v>
      </c>
      <c r="BK11" s="12">
        <f>BH11+BI11</f>
        <v>50.4</v>
      </c>
      <c r="BL11" s="12">
        <v>28</v>
      </c>
      <c r="BM11" s="12">
        <v>1.8</v>
      </c>
      <c r="BN11" s="12" t="s">
        <v>359</v>
      </c>
      <c r="BO11" s="12">
        <v>0</v>
      </c>
      <c r="BP11" s="12">
        <v>1</v>
      </c>
      <c r="BQ11" s="12">
        <v>1</v>
      </c>
      <c r="BR11" s="11">
        <v>41071</v>
      </c>
      <c r="BS11" s="12" t="s">
        <v>78</v>
      </c>
      <c r="BT11" s="12" t="s">
        <v>77</v>
      </c>
      <c r="BU11" s="12">
        <v>6</v>
      </c>
      <c r="BV11" s="12">
        <v>1</v>
      </c>
      <c r="BW11" s="12">
        <v>6.04</v>
      </c>
      <c r="BX11" s="12">
        <v>0.45</v>
      </c>
      <c r="BY11" s="12">
        <v>0.38600000000000001</v>
      </c>
      <c r="BZ11" s="12">
        <v>15.3</v>
      </c>
      <c r="CA11" s="12">
        <v>201</v>
      </c>
      <c r="CB11" s="12">
        <v>1.77</v>
      </c>
      <c r="CC11" s="12">
        <v>16.809999999999999</v>
      </c>
      <c r="CD11" s="12">
        <v>5.99</v>
      </c>
      <c r="CE11" s="12">
        <v>1</v>
      </c>
      <c r="CF11" s="11">
        <v>41151</v>
      </c>
      <c r="CG11" s="7">
        <f>CF11-AJ11</f>
        <v>42</v>
      </c>
      <c r="CH11" s="17" t="s">
        <v>461</v>
      </c>
      <c r="CI11" s="17" t="s">
        <v>460</v>
      </c>
      <c r="CJ11" s="17" t="s">
        <v>515</v>
      </c>
      <c r="CK11" s="12" t="s">
        <v>1585</v>
      </c>
      <c r="CL11" s="12" t="s">
        <v>1584</v>
      </c>
      <c r="CM11" s="12">
        <v>0</v>
      </c>
      <c r="CN11" s="12"/>
      <c r="CO11" s="12" t="s">
        <v>1549</v>
      </c>
      <c r="CP11" s="12"/>
      <c r="CQ11" s="17" t="s">
        <v>2244</v>
      </c>
      <c r="CR11" s="17">
        <v>4.5</v>
      </c>
      <c r="CS11" s="12" t="s">
        <v>1581</v>
      </c>
      <c r="CT11" s="12" t="s">
        <v>1546</v>
      </c>
      <c r="CU11" s="12" t="s">
        <v>493</v>
      </c>
      <c r="CV11" s="17">
        <v>0</v>
      </c>
      <c r="CW11" s="12">
        <v>5.5</v>
      </c>
      <c r="CX11" s="12">
        <v>3.4</v>
      </c>
      <c r="CY11" s="12">
        <v>0.3</v>
      </c>
      <c r="CZ11" s="12">
        <v>0</v>
      </c>
      <c r="DA11" s="12">
        <v>44</v>
      </c>
      <c r="DB11" s="13">
        <f>CZ11/DA11*100</f>
        <v>0</v>
      </c>
      <c r="DC11" s="12">
        <v>1</v>
      </c>
      <c r="DD11" s="12">
        <v>0</v>
      </c>
      <c r="DE11" s="12">
        <v>1</v>
      </c>
      <c r="DF11" s="12">
        <v>0</v>
      </c>
      <c r="DG11" s="12" t="s">
        <v>2243</v>
      </c>
      <c r="DH11" s="16">
        <v>0</v>
      </c>
      <c r="DI11" s="16">
        <v>0</v>
      </c>
      <c r="DJ11" s="11">
        <v>41457</v>
      </c>
      <c r="DK11" s="11"/>
      <c r="DL11" s="12">
        <f>(DJ11-I11)/365.25*12</f>
        <v>12.681724845995893</v>
      </c>
      <c r="DM11" s="12">
        <v>1</v>
      </c>
      <c r="DN11" s="12" t="s">
        <v>2242</v>
      </c>
      <c r="DO11" s="11">
        <v>41457</v>
      </c>
      <c r="DP11" s="19" t="s">
        <v>45</v>
      </c>
      <c r="DQ11" s="16">
        <v>1</v>
      </c>
      <c r="DR11" s="11">
        <v>41457</v>
      </c>
      <c r="DS11" s="10">
        <f>IF(DQ11=1, (DR11-$I11)/365.25*12, IF(DQ11=0, $DL11, "ERROR"))</f>
        <v>12.681724845995893</v>
      </c>
      <c r="DT11" s="16">
        <v>1</v>
      </c>
      <c r="DU11" s="16">
        <v>1</v>
      </c>
      <c r="DV11" s="16">
        <v>1</v>
      </c>
      <c r="DW11" s="16">
        <f>DU11*(1-DV11)</f>
        <v>0</v>
      </c>
      <c r="DX11" s="16">
        <f>(1-DU11)*DV11</f>
        <v>0</v>
      </c>
      <c r="DY11" s="16">
        <f>DU11*DV11</f>
        <v>1</v>
      </c>
      <c r="DZ11" s="11">
        <v>41485</v>
      </c>
      <c r="EA11" s="10">
        <f>IF(DT11=1, (DZ11-$I11)/365.25*12, IF(DT11=0, $DL11, "ERROR"))</f>
        <v>13.601642710472278</v>
      </c>
      <c r="EB11" s="16">
        <v>1</v>
      </c>
      <c r="EC11" s="16">
        <v>1</v>
      </c>
      <c r="ED11" s="16">
        <f>1-((1-DQ11)*(1-DT11))</f>
        <v>1</v>
      </c>
      <c r="EE11" s="11">
        <f>MIN(DR11,DZ11)</f>
        <v>41457</v>
      </c>
      <c r="EF11" s="11" t="s">
        <v>45</v>
      </c>
      <c r="EG11" s="16" t="s">
        <v>45</v>
      </c>
      <c r="EH11" s="11" t="s">
        <v>45</v>
      </c>
      <c r="EI11" s="12">
        <v>1</v>
      </c>
      <c r="EJ11" s="16">
        <f>(1-DQ11)*DX11*(1-EI11)</f>
        <v>0</v>
      </c>
      <c r="EK11" s="11">
        <v>41628</v>
      </c>
      <c r="EL11" s="10">
        <f>IF(EI11=1, (EK11-$I11)/365.25*12, IF(EI11=0, $DL11, "ERROR"))</f>
        <v>18.299794661190965</v>
      </c>
      <c r="EM11" s="11" t="s">
        <v>2241</v>
      </c>
      <c r="EN11" s="16">
        <v>0</v>
      </c>
      <c r="EO11" s="16">
        <v>1</v>
      </c>
      <c r="EP11" s="16">
        <v>0</v>
      </c>
      <c r="EQ11" s="16">
        <v>0</v>
      </c>
      <c r="ER11" s="16">
        <v>0</v>
      </c>
      <c r="ES11" s="16">
        <v>0</v>
      </c>
      <c r="ET11" s="16">
        <v>0</v>
      </c>
      <c r="EU11" s="16">
        <v>0</v>
      </c>
      <c r="EV11" s="16">
        <v>0</v>
      </c>
      <c r="EW11" s="1">
        <f>1-((1-EP11)*(1-ET11)*(1-EU11)*(1-EV11))</f>
        <v>0</v>
      </c>
      <c r="EX11" s="16">
        <v>0</v>
      </c>
      <c r="EY11" s="7">
        <v>0</v>
      </c>
      <c r="EZ11" s="7">
        <v>0</v>
      </c>
      <c r="FA11" s="7">
        <v>0</v>
      </c>
      <c r="FB11" s="11" t="s">
        <v>45</v>
      </c>
      <c r="FC11" s="12">
        <v>1</v>
      </c>
      <c r="FD11" s="12">
        <v>1</v>
      </c>
      <c r="FE11" s="11"/>
      <c r="FF11" s="18">
        <v>41744</v>
      </c>
      <c r="FG11" s="3">
        <f>IF(FC11=1, FF11, IF(FD11=1, 44348, DJ11))</f>
        <v>41744</v>
      </c>
      <c r="FH11" s="13">
        <f>(FG11-I11)/365.25*12</f>
        <v>22.11088295687885</v>
      </c>
      <c r="FI11" s="13"/>
      <c r="FJ11" s="14">
        <f>IF(OR(DM11,FC11), 1, 0)</f>
        <v>1</v>
      </c>
      <c r="FK11" s="11">
        <f>IF(DM11=1,IF(FC11=1,MIN(DO11,FF11),DO11),IF(FC11=1,FF11,DJ11))</f>
        <v>41457</v>
      </c>
      <c r="FL11" s="13">
        <f>(FK11-$I11)/365.25*12</f>
        <v>12.681724845995893</v>
      </c>
      <c r="FM11" s="14">
        <f>IF(OR(ED11,FC11), 1, 0)</f>
        <v>1</v>
      </c>
      <c r="FN11" s="11">
        <f>IF(ED11=1,IF(FC11=1,MIN(EE11,FF11),EE11),IF(FC11=1,FF11,DJ11))</f>
        <v>41457</v>
      </c>
      <c r="FO11" s="13">
        <f>(FN11-$I11)/365.25*12</f>
        <v>12.681724845995893</v>
      </c>
      <c r="FP11" s="14">
        <f>IF(OR(EI11,FC11), 1, 0)</f>
        <v>1</v>
      </c>
      <c r="FQ11" s="11">
        <f>IF(EI11=1,IF(FC11=1,MIN(EK11,FF11),EK11),IF(FC11=1,FF11,DJ11))</f>
        <v>41628</v>
      </c>
      <c r="FR11" s="13">
        <f>(FQ11-$I11)/365.25*12</f>
        <v>18.299794661190965</v>
      </c>
      <c r="FS11" s="12"/>
      <c r="FT11" s="12"/>
      <c r="FU11" s="12">
        <v>0</v>
      </c>
      <c r="FV11" s="12">
        <v>0</v>
      </c>
      <c r="FW11" s="12">
        <v>0</v>
      </c>
      <c r="FX11" s="12">
        <v>0</v>
      </c>
      <c r="FY11" s="12" t="s">
        <v>2240</v>
      </c>
      <c r="FZ11" s="12"/>
    </row>
    <row r="12" spans="1:190" ht="12.75" hidden="1" customHeight="1">
      <c r="A12" s="1" t="s">
        <v>2239</v>
      </c>
      <c r="B12" s="12" t="s">
        <v>2238</v>
      </c>
      <c r="C12" s="12">
        <v>43132966</v>
      </c>
      <c r="D12" s="12">
        <v>0</v>
      </c>
      <c r="E12" s="12">
        <v>0</v>
      </c>
      <c r="F12" s="12">
        <v>0</v>
      </c>
      <c r="G12" s="12">
        <v>1</v>
      </c>
      <c r="H12" s="21"/>
      <c r="I12" s="11">
        <v>41080</v>
      </c>
      <c r="J12" s="11">
        <v>41065</v>
      </c>
      <c r="K12" s="11">
        <v>22073</v>
      </c>
      <c r="L12" s="20">
        <f>(DAYS360(K12,I12))/365</f>
        <v>51.326027397260276</v>
      </c>
      <c r="M12" s="12" t="s">
        <v>370</v>
      </c>
      <c r="N12" s="12">
        <v>1</v>
      </c>
      <c r="O12" s="12">
        <v>0</v>
      </c>
      <c r="P12" s="12" t="s">
        <v>357</v>
      </c>
      <c r="Q12" s="12"/>
      <c r="R12" s="12" t="s">
        <v>466</v>
      </c>
      <c r="S12" s="12" t="s">
        <v>593</v>
      </c>
      <c r="T12" s="12" t="s">
        <v>432</v>
      </c>
      <c r="U12" s="12">
        <v>0</v>
      </c>
      <c r="V12" s="12">
        <v>1</v>
      </c>
      <c r="W12" s="12">
        <v>1</v>
      </c>
      <c r="X12" s="12" t="s">
        <v>367</v>
      </c>
      <c r="Y12" s="12">
        <v>3</v>
      </c>
      <c r="Z12" s="12">
        <v>2</v>
      </c>
      <c r="AA12" s="12" t="s">
        <v>96</v>
      </c>
      <c r="AB12" s="12" t="s">
        <v>716</v>
      </c>
      <c r="AC12" s="12">
        <v>5</v>
      </c>
      <c r="AD12" s="12" t="s">
        <v>2237</v>
      </c>
      <c r="AE12" s="12" t="s">
        <v>2008</v>
      </c>
      <c r="AF12" s="12">
        <v>1</v>
      </c>
      <c r="AG12" s="12">
        <v>1</v>
      </c>
      <c r="AH12" s="12">
        <v>1</v>
      </c>
      <c r="AI12" s="11">
        <v>41080</v>
      </c>
      <c r="AJ12" s="11">
        <v>41120</v>
      </c>
      <c r="AK12" s="19" t="s">
        <v>518</v>
      </c>
      <c r="AL12" s="19" t="s">
        <v>392</v>
      </c>
      <c r="AM12" s="12">
        <v>1</v>
      </c>
      <c r="AN12" s="12">
        <v>1</v>
      </c>
      <c r="AO12" s="12">
        <v>0</v>
      </c>
      <c r="AP12" s="12">
        <v>0</v>
      </c>
      <c r="AQ12" s="12">
        <v>0</v>
      </c>
      <c r="AR12" s="12">
        <v>0</v>
      </c>
      <c r="AS12" s="12">
        <v>0</v>
      </c>
      <c r="AT12" s="12">
        <v>0</v>
      </c>
      <c r="AU12" s="19" t="s">
        <v>362</v>
      </c>
      <c r="AV12" s="19" t="s">
        <v>357</v>
      </c>
      <c r="AW12" s="19"/>
      <c r="AX12" s="12">
        <v>0</v>
      </c>
      <c r="AY12" s="19" t="s">
        <v>357</v>
      </c>
      <c r="AZ12" s="12">
        <v>1</v>
      </c>
      <c r="BA12" s="12">
        <f>2+11.5+0.5</f>
        <v>14</v>
      </c>
      <c r="BB12" s="12">
        <v>328.4</v>
      </c>
      <c r="BC12" s="12">
        <f>9.5-2.5+0.5</f>
        <v>7.5</v>
      </c>
      <c r="BD12" s="12">
        <v>2</v>
      </c>
      <c r="BE12" s="12">
        <v>749.4</v>
      </c>
      <c r="BF12" s="12" t="s">
        <v>2236</v>
      </c>
      <c r="BG12" s="12" t="s">
        <v>360</v>
      </c>
      <c r="BH12" s="12">
        <v>45</v>
      </c>
      <c r="BI12" s="12">
        <v>5.4</v>
      </c>
      <c r="BJ12" s="12">
        <v>1</v>
      </c>
      <c r="BK12" s="12">
        <f>BH12+BI12</f>
        <v>50.4</v>
      </c>
      <c r="BL12" s="12">
        <v>28</v>
      </c>
      <c r="BM12" s="12">
        <v>1.8</v>
      </c>
      <c r="BN12" s="12" t="s">
        <v>359</v>
      </c>
      <c r="BO12" s="12">
        <v>0</v>
      </c>
      <c r="BP12" s="12">
        <v>1</v>
      </c>
      <c r="BQ12" s="12">
        <v>1</v>
      </c>
      <c r="BR12" s="11">
        <v>41080</v>
      </c>
      <c r="BS12" s="12" t="s">
        <v>91</v>
      </c>
      <c r="BT12" s="12" t="s">
        <v>90</v>
      </c>
      <c r="BU12" s="12">
        <v>2</v>
      </c>
      <c r="BV12" s="12">
        <v>1</v>
      </c>
      <c r="BW12" s="12">
        <v>15.3</v>
      </c>
      <c r="BX12" s="12">
        <v>0.79600000000000004</v>
      </c>
      <c r="BY12" s="12">
        <v>0.14699999999999999</v>
      </c>
      <c r="BZ12" s="12">
        <v>13.8</v>
      </c>
      <c r="CA12" s="12">
        <v>416</v>
      </c>
      <c r="CB12" s="12">
        <v>1.54</v>
      </c>
      <c r="CC12" s="12">
        <v>25.3</v>
      </c>
      <c r="CD12" s="12">
        <v>4.3</v>
      </c>
      <c r="CE12" s="12">
        <v>1</v>
      </c>
      <c r="CF12" s="11">
        <v>41165</v>
      </c>
      <c r="CG12" s="7">
        <f>CF12-AJ12</f>
        <v>45</v>
      </c>
      <c r="CH12" s="17" t="s">
        <v>461</v>
      </c>
      <c r="CI12" s="17" t="s">
        <v>460</v>
      </c>
      <c r="CJ12" s="17" t="s">
        <v>515</v>
      </c>
      <c r="CK12" s="12" t="s">
        <v>663</v>
      </c>
      <c r="CL12" s="12" t="s">
        <v>45</v>
      </c>
      <c r="CM12" s="12">
        <v>1</v>
      </c>
      <c r="CN12" s="12"/>
      <c r="CO12" s="17" t="s">
        <v>1558</v>
      </c>
      <c r="CP12" s="17"/>
      <c r="CQ12" s="17" t="s">
        <v>357</v>
      </c>
      <c r="CR12" s="17">
        <v>0</v>
      </c>
      <c r="CS12" s="12" t="s">
        <v>357</v>
      </c>
      <c r="CT12" s="12" t="s">
        <v>357</v>
      </c>
      <c r="CU12" s="12" t="s">
        <v>357</v>
      </c>
      <c r="CV12" s="17">
        <v>0</v>
      </c>
      <c r="CW12" s="12" t="s">
        <v>357</v>
      </c>
      <c r="CX12" s="12" t="s">
        <v>357</v>
      </c>
      <c r="CY12" s="12" t="s">
        <v>357</v>
      </c>
      <c r="CZ12" s="12">
        <v>0</v>
      </c>
      <c r="DA12" s="12">
        <v>35</v>
      </c>
      <c r="DB12" s="13">
        <f>CZ12/DA12*100</f>
        <v>0</v>
      </c>
      <c r="DC12" s="12" t="s">
        <v>357</v>
      </c>
      <c r="DD12" s="12" t="s">
        <v>357</v>
      </c>
      <c r="DE12" s="12" t="s">
        <v>357</v>
      </c>
      <c r="DF12" s="12" t="s">
        <v>357</v>
      </c>
      <c r="DG12" s="12" t="s">
        <v>2235</v>
      </c>
      <c r="DH12" s="16">
        <v>0</v>
      </c>
      <c r="DI12" s="16">
        <v>0</v>
      </c>
      <c r="DJ12" s="11">
        <v>41850</v>
      </c>
      <c r="DK12" s="11" t="s">
        <v>2234</v>
      </c>
      <c r="DL12" s="12">
        <f>(DJ12-I12)/365.25*12</f>
        <v>25.297741273100616</v>
      </c>
      <c r="DM12" s="12">
        <v>1</v>
      </c>
      <c r="DN12" s="12" t="s">
        <v>2233</v>
      </c>
      <c r="DO12" s="11">
        <v>41850</v>
      </c>
      <c r="DP12" s="11" t="s">
        <v>2232</v>
      </c>
      <c r="DQ12" s="16">
        <v>0</v>
      </c>
      <c r="DR12" s="11" t="s">
        <v>45</v>
      </c>
      <c r="DS12" s="10">
        <f>IF(DQ12=1, (DR12-$I12)/365.25*12, IF(DQ12=0, $DL12, "ERROR"))</f>
        <v>25.297741273100616</v>
      </c>
      <c r="DT12" s="16">
        <v>0</v>
      </c>
      <c r="DU12" s="16">
        <v>0</v>
      </c>
      <c r="DV12" s="16">
        <v>0</v>
      </c>
      <c r="DW12" s="16">
        <f>DU12*(1-DV12)</f>
        <v>0</v>
      </c>
      <c r="DX12" s="16">
        <f>(1-DU12)*DV12</f>
        <v>0</v>
      </c>
      <c r="DY12" s="16">
        <f>DU12*DV12</f>
        <v>0</v>
      </c>
      <c r="DZ12" s="11" t="s">
        <v>45</v>
      </c>
      <c r="EA12" s="10">
        <f>IF(DT12=1, (DZ12-$I12)/365.25*12, IF(DT12=0, $DL12, "ERROR"))</f>
        <v>25.297741273100616</v>
      </c>
      <c r="EB12" s="16">
        <v>0</v>
      </c>
      <c r="EC12" s="16">
        <v>0</v>
      </c>
      <c r="ED12" s="16">
        <f>1-((1-DQ12)*(1-DT12))</f>
        <v>0</v>
      </c>
      <c r="EE12" s="11" t="s">
        <v>45</v>
      </c>
      <c r="EF12" s="11" t="s">
        <v>1649</v>
      </c>
      <c r="EG12" s="16" t="s">
        <v>45</v>
      </c>
      <c r="EH12" s="11" t="s">
        <v>45</v>
      </c>
      <c r="EI12" s="12">
        <v>1</v>
      </c>
      <c r="EJ12" s="16">
        <f>(1-DQ12)*DX12*(1-EI12)</f>
        <v>0</v>
      </c>
      <c r="EK12" s="11">
        <v>41850</v>
      </c>
      <c r="EL12" s="10">
        <f>IF(EI12=1, (EK12-$I12)/365.25*12, IF(EI12=0, $DL12, "ERROR"))</f>
        <v>25.297741273100616</v>
      </c>
      <c r="EM12" s="11" t="s">
        <v>2231</v>
      </c>
      <c r="EN12" s="16">
        <v>0</v>
      </c>
      <c r="EO12" s="16">
        <v>0</v>
      </c>
      <c r="EP12" s="16">
        <v>0</v>
      </c>
      <c r="EQ12" s="16">
        <v>0</v>
      </c>
      <c r="ER12" s="16">
        <v>1</v>
      </c>
      <c r="ES12" s="16">
        <v>1</v>
      </c>
      <c r="ET12" s="16">
        <v>0</v>
      </c>
      <c r="EU12" s="16">
        <v>0</v>
      </c>
      <c r="EV12" s="16">
        <v>0</v>
      </c>
      <c r="EW12" s="1">
        <f>1-((1-EP12)*(1-ET12)*(1-EU12)*(1-EV12))</f>
        <v>0</v>
      </c>
      <c r="EX12" s="16">
        <v>1</v>
      </c>
      <c r="EY12" s="16">
        <v>1</v>
      </c>
      <c r="EZ12" s="16">
        <v>0</v>
      </c>
      <c r="FA12" s="16">
        <v>0</v>
      </c>
      <c r="FB12" s="11" t="s">
        <v>45</v>
      </c>
      <c r="FC12" s="12">
        <v>1</v>
      </c>
      <c r="FD12" s="12">
        <v>1</v>
      </c>
      <c r="FE12" s="11"/>
      <c r="FF12" s="18">
        <v>42184</v>
      </c>
      <c r="FG12" s="3">
        <f>IF(FC12=1, FF12, IF(FD12=1, 44348, DJ12))</f>
        <v>42184</v>
      </c>
      <c r="FH12" s="13">
        <f>(FG12-I12)/365.25*12</f>
        <v>36.271047227926076</v>
      </c>
      <c r="FI12" s="13"/>
      <c r="FJ12" s="14">
        <f>IF(OR(DM12,FC12), 1, 0)</f>
        <v>1</v>
      </c>
      <c r="FK12" s="11">
        <f>IF(DM12=1,IF(FC12=1,MIN(DO12,FF12),DO12),IF(FC12=1,FF12,DJ12))</f>
        <v>41850</v>
      </c>
      <c r="FL12" s="13">
        <f>(FK12-$I12)/365.25*12</f>
        <v>25.297741273100616</v>
      </c>
      <c r="FM12" s="14">
        <f>IF(OR(ED12,FC12), 1, 0)</f>
        <v>1</v>
      </c>
      <c r="FN12" s="11">
        <f>IF(ED12=1,IF(FC12=1,MIN(EE12,FF12),EE12),IF(FC12=1,FF12,DJ12))</f>
        <v>42184</v>
      </c>
      <c r="FO12" s="13">
        <f>(FN12-$I12)/365.25*12</f>
        <v>36.271047227926076</v>
      </c>
      <c r="FP12" s="14">
        <f>IF(OR(EI12,FC12), 1, 0)</f>
        <v>1</v>
      </c>
      <c r="FQ12" s="11">
        <f>IF(EI12=1,IF(FC12=1,MIN(EK12,FF12),EK12),IF(FC12=1,FF12,DJ12))</f>
        <v>41850</v>
      </c>
      <c r="FR12" s="13">
        <f>(FQ12-$I12)/365.25*12</f>
        <v>25.297741273100616</v>
      </c>
      <c r="FS12" s="12"/>
      <c r="FT12" s="12"/>
      <c r="FU12" s="12">
        <v>0</v>
      </c>
      <c r="FV12" s="12">
        <v>0</v>
      </c>
      <c r="FW12" s="12">
        <v>0</v>
      </c>
      <c r="FX12" s="12">
        <v>0</v>
      </c>
      <c r="FY12" s="12" t="s">
        <v>2230</v>
      </c>
      <c r="FZ12" s="12"/>
    </row>
    <row r="13" spans="1:190" ht="12.75" hidden="1" customHeight="1">
      <c r="A13" s="1" t="s">
        <v>2229</v>
      </c>
      <c r="B13" s="12" t="s">
        <v>2228</v>
      </c>
      <c r="C13" s="12">
        <v>43785687</v>
      </c>
      <c r="D13" s="12">
        <v>0</v>
      </c>
      <c r="E13" s="12">
        <v>0</v>
      </c>
      <c r="F13" s="12">
        <v>0</v>
      </c>
      <c r="G13" s="12">
        <v>1</v>
      </c>
      <c r="H13" s="21"/>
      <c r="I13" s="11">
        <v>41246</v>
      </c>
      <c r="J13" s="11">
        <v>41220</v>
      </c>
      <c r="K13" s="11">
        <v>17668</v>
      </c>
      <c r="L13" s="20">
        <f>(DAYS360(K13,I13))/365</f>
        <v>63.665753424657531</v>
      </c>
      <c r="M13" s="12" t="s">
        <v>370</v>
      </c>
      <c r="N13" s="12">
        <v>1</v>
      </c>
      <c r="O13" s="12">
        <v>0</v>
      </c>
      <c r="P13" s="12" t="s">
        <v>423</v>
      </c>
      <c r="Q13" s="12">
        <v>1</v>
      </c>
      <c r="R13" s="12" t="s">
        <v>466</v>
      </c>
      <c r="S13" s="12">
        <v>28</v>
      </c>
      <c r="T13" s="12" t="s">
        <v>384</v>
      </c>
      <c r="U13" s="12">
        <v>0</v>
      </c>
      <c r="V13" s="12">
        <v>1</v>
      </c>
      <c r="W13" s="12">
        <v>0</v>
      </c>
      <c r="X13" s="12" t="s">
        <v>367</v>
      </c>
      <c r="Y13" s="12">
        <v>3</v>
      </c>
      <c r="Z13" s="12">
        <v>1</v>
      </c>
      <c r="AA13" s="12" t="s">
        <v>366</v>
      </c>
      <c r="AB13" s="12" t="s">
        <v>365</v>
      </c>
      <c r="AC13" s="12">
        <v>3</v>
      </c>
      <c r="AD13" s="12">
        <v>8</v>
      </c>
      <c r="AE13" s="12"/>
      <c r="AF13" s="12">
        <v>0</v>
      </c>
      <c r="AG13" s="12">
        <v>0</v>
      </c>
      <c r="AH13" s="12">
        <v>0</v>
      </c>
      <c r="AI13" s="11">
        <v>41246</v>
      </c>
      <c r="AJ13" s="11">
        <v>41288</v>
      </c>
      <c r="AK13" s="19" t="s">
        <v>554</v>
      </c>
      <c r="AL13" s="19" t="s">
        <v>392</v>
      </c>
      <c r="AM13" s="12">
        <v>0</v>
      </c>
      <c r="AN13" s="12">
        <v>0</v>
      </c>
      <c r="AO13" s="12">
        <v>0</v>
      </c>
      <c r="AP13" s="12">
        <v>0</v>
      </c>
      <c r="AQ13" s="12">
        <v>0</v>
      </c>
      <c r="AR13" s="12">
        <v>0</v>
      </c>
      <c r="AS13" s="12">
        <f>IF(AND(AM13=0,AU13&lt;=2), 1, 0)</f>
        <v>0</v>
      </c>
      <c r="AT13" s="12">
        <v>0</v>
      </c>
      <c r="AU13" s="12">
        <v>4.5</v>
      </c>
      <c r="AV13" s="19" t="s">
        <v>362</v>
      </c>
      <c r="AW13" s="19"/>
      <c r="AX13" s="12">
        <v>1</v>
      </c>
      <c r="AY13" s="19" t="s">
        <v>357</v>
      </c>
      <c r="AZ13" s="12">
        <v>1</v>
      </c>
      <c r="BA13" s="12">
        <v>5</v>
      </c>
      <c r="BB13" s="12">
        <v>164.6</v>
      </c>
      <c r="BC13" s="12">
        <v>5.5</v>
      </c>
      <c r="BD13" s="12">
        <v>4.5</v>
      </c>
      <c r="BE13" s="12">
        <v>350.6</v>
      </c>
      <c r="BF13" s="12" t="s">
        <v>2216</v>
      </c>
      <c r="BG13" s="12" t="s">
        <v>360</v>
      </c>
      <c r="BH13" s="12">
        <v>45</v>
      </c>
      <c r="BI13" s="12">
        <v>5.4</v>
      </c>
      <c r="BJ13" s="12">
        <v>1</v>
      </c>
      <c r="BK13" s="12">
        <f>BH13+BI13</f>
        <v>50.4</v>
      </c>
      <c r="BL13" s="12">
        <v>28</v>
      </c>
      <c r="BM13" s="12">
        <v>1.8</v>
      </c>
      <c r="BN13" s="12" t="s">
        <v>359</v>
      </c>
      <c r="BO13" s="12">
        <v>0</v>
      </c>
      <c r="BP13" s="12">
        <v>1</v>
      </c>
      <c r="BQ13" s="12">
        <v>1</v>
      </c>
      <c r="BR13" s="11">
        <v>41246</v>
      </c>
      <c r="BS13" s="12" t="s">
        <v>91</v>
      </c>
      <c r="BT13" s="12" t="s">
        <v>90</v>
      </c>
      <c r="BU13" s="12">
        <v>2</v>
      </c>
      <c r="BV13" s="12">
        <v>1</v>
      </c>
      <c r="BW13" s="12">
        <v>8.5</v>
      </c>
      <c r="BX13" s="12">
        <v>0.754</v>
      </c>
      <c r="BY13" s="12">
        <v>0.17799999999999999</v>
      </c>
      <c r="BZ13" s="12">
        <v>13.9</v>
      </c>
      <c r="CA13" s="12">
        <v>268</v>
      </c>
      <c r="CB13" s="12">
        <v>1.61</v>
      </c>
      <c r="CC13" s="12">
        <v>16.8</v>
      </c>
      <c r="CD13" s="12">
        <v>7</v>
      </c>
      <c r="CE13" s="12">
        <v>1</v>
      </c>
      <c r="CF13" s="11">
        <v>41340</v>
      </c>
      <c r="CG13" s="7">
        <f>CF13-AJ13</f>
        <v>52</v>
      </c>
      <c r="CH13" s="17" t="s">
        <v>461</v>
      </c>
      <c r="CI13" s="17" t="s">
        <v>460</v>
      </c>
      <c r="CJ13" s="17" t="s">
        <v>515</v>
      </c>
      <c r="CK13" s="12" t="s">
        <v>459</v>
      </c>
      <c r="CL13" s="12" t="s">
        <v>458</v>
      </c>
      <c r="CM13" s="12">
        <v>0</v>
      </c>
      <c r="CN13" s="12"/>
      <c r="CO13" s="12" t="s">
        <v>1549</v>
      </c>
      <c r="CP13" s="12"/>
      <c r="CQ13" s="17" t="s">
        <v>2227</v>
      </c>
      <c r="CR13" s="17">
        <v>1.2</v>
      </c>
      <c r="CS13" s="12" t="s">
        <v>1547</v>
      </c>
      <c r="CT13" s="12" t="s">
        <v>511</v>
      </c>
      <c r="CU13" s="12" t="s">
        <v>472</v>
      </c>
      <c r="CV13" s="17">
        <v>0</v>
      </c>
      <c r="CW13" s="12">
        <v>1.9</v>
      </c>
      <c r="CX13" s="12">
        <v>10.3</v>
      </c>
      <c r="CY13" s="12">
        <v>0.4</v>
      </c>
      <c r="CZ13" s="12">
        <v>0</v>
      </c>
      <c r="DA13" s="12">
        <v>35</v>
      </c>
      <c r="DB13" s="13">
        <f>CZ13/DA13*100</f>
        <v>0</v>
      </c>
      <c r="DC13" s="12">
        <v>1</v>
      </c>
      <c r="DD13" s="12">
        <v>0</v>
      </c>
      <c r="DE13" s="12">
        <v>0</v>
      </c>
      <c r="DF13" s="12">
        <v>0</v>
      </c>
      <c r="DG13" s="12" t="s">
        <v>2226</v>
      </c>
      <c r="DH13" s="16">
        <v>0</v>
      </c>
      <c r="DI13" s="16">
        <v>0</v>
      </c>
      <c r="DJ13" s="11">
        <v>41683</v>
      </c>
      <c r="DK13" s="11"/>
      <c r="DL13" s="12">
        <f>(DJ13-I13)/365.25*12</f>
        <v>14.35728952772074</v>
      </c>
      <c r="DM13" s="12">
        <v>1</v>
      </c>
      <c r="DN13" s="12" t="s">
        <v>2225</v>
      </c>
      <c r="DO13" s="11">
        <v>41683</v>
      </c>
      <c r="DP13" s="19" t="s">
        <v>1436</v>
      </c>
      <c r="DQ13" s="16">
        <v>0</v>
      </c>
      <c r="DR13" s="11" t="s">
        <v>45</v>
      </c>
      <c r="DS13" s="10">
        <f>IF(DQ13=1, (DR13-$I13)/365.25*12, IF(DQ13=0, $DL13, "ERROR"))</f>
        <v>14.35728952772074</v>
      </c>
      <c r="DT13" s="16">
        <v>1</v>
      </c>
      <c r="DU13" s="16">
        <v>0</v>
      </c>
      <c r="DV13" s="16">
        <v>1</v>
      </c>
      <c r="DW13" s="16">
        <f>DU13*(1-DV13)</f>
        <v>0</v>
      </c>
      <c r="DX13" s="16">
        <f>(1-DU13)*DV13</f>
        <v>1</v>
      </c>
      <c r="DY13" s="16">
        <f>DU13*DV13</f>
        <v>0</v>
      </c>
      <c r="DZ13" s="11">
        <v>41683</v>
      </c>
      <c r="EA13" s="10">
        <f>IF(DT13=1, (DZ13-$I13)/365.25*12, IF(DT13=0, $DL13, "ERROR"))</f>
        <v>14.35728952772074</v>
      </c>
      <c r="EB13" s="16">
        <v>1</v>
      </c>
      <c r="EC13" s="16">
        <v>0</v>
      </c>
      <c r="ED13" s="16">
        <f>1-((1-DQ13)*(1-DT13))</f>
        <v>1</v>
      </c>
      <c r="EE13" s="11">
        <f>MIN(DR13,DZ13)</f>
        <v>41683</v>
      </c>
      <c r="EF13" s="11" t="s">
        <v>45</v>
      </c>
      <c r="EG13" s="16" t="s">
        <v>45</v>
      </c>
      <c r="EH13" s="11" t="s">
        <v>45</v>
      </c>
      <c r="EI13" s="12">
        <v>0</v>
      </c>
      <c r="EJ13" s="16">
        <f>(1-DQ13)*DX13*(1-EI13)</f>
        <v>1</v>
      </c>
      <c r="EK13" s="11" t="s">
        <v>45</v>
      </c>
      <c r="EL13" s="10">
        <f>IF(EI13=1, (EK13-$I13)/365.25*12, IF(EI13=0, $DL13, "ERROR"))</f>
        <v>14.35728952772074</v>
      </c>
      <c r="EM13" s="11" t="s">
        <v>45</v>
      </c>
      <c r="EN13" s="1">
        <v>0</v>
      </c>
      <c r="EO13" s="1">
        <v>0</v>
      </c>
      <c r="EP13" s="1">
        <v>0</v>
      </c>
      <c r="EQ13" s="1">
        <v>0</v>
      </c>
      <c r="ER13" s="1">
        <v>0</v>
      </c>
      <c r="ES13" s="1">
        <v>0</v>
      </c>
      <c r="ET13" s="1">
        <v>0</v>
      </c>
      <c r="EU13" s="1">
        <v>0</v>
      </c>
      <c r="EV13" s="1">
        <v>0</v>
      </c>
      <c r="EW13" s="1">
        <f>1-((1-EP13)*(1-ET13)*(1-EU13)*(1-EV13))</f>
        <v>0</v>
      </c>
      <c r="EX13" s="16">
        <v>0</v>
      </c>
      <c r="EY13" s="7">
        <v>0</v>
      </c>
      <c r="EZ13" s="7">
        <v>0</v>
      </c>
      <c r="FA13" s="7">
        <v>0</v>
      </c>
      <c r="FB13" s="11" t="s">
        <v>45</v>
      </c>
      <c r="FC13" s="12">
        <v>1</v>
      </c>
      <c r="FD13" s="12">
        <v>1</v>
      </c>
      <c r="FE13" s="11"/>
      <c r="FF13" s="18">
        <v>41917</v>
      </c>
      <c r="FG13" s="3">
        <f>IF(FC13=1, FF13, IF(FD13=1, 44348, DJ13))</f>
        <v>41917</v>
      </c>
      <c r="FH13" s="13">
        <f>(FG13-I13)/365.25*12</f>
        <v>22.04517453798768</v>
      </c>
      <c r="FI13" s="13"/>
      <c r="FJ13" s="14">
        <f>IF(OR(DM13,FC13), 1, 0)</f>
        <v>1</v>
      </c>
      <c r="FK13" s="11">
        <f>IF(DM13=1,IF(FC13=1,MIN(DO13,FF13),DO13),IF(FC13=1,FF13,DJ13))</f>
        <v>41683</v>
      </c>
      <c r="FL13" s="13">
        <f>(FK13-$I13)/365.25*12</f>
        <v>14.35728952772074</v>
      </c>
      <c r="FM13" s="14">
        <f>IF(OR(ED13,FC13), 1, 0)</f>
        <v>1</v>
      </c>
      <c r="FN13" s="11">
        <f>IF(ED13=1,IF(FC13=1,MIN(EE13,FF13),EE13),IF(FC13=1,FF13,DJ13))</f>
        <v>41683</v>
      </c>
      <c r="FO13" s="13">
        <f>(FN13-$I13)/365.25*12</f>
        <v>14.35728952772074</v>
      </c>
      <c r="FP13" s="14">
        <f>IF(OR(EI13,FC13), 1, 0)</f>
        <v>1</v>
      </c>
      <c r="FQ13" s="11">
        <f>IF(EI13=1,IF(FC13=1,MIN(EK13,FF13),EK13),IF(FC13=1,FF13,DJ13))</f>
        <v>41917</v>
      </c>
      <c r="FR13" s="13">
        <f>(FQ13-$I13)/365.25*12</f>
        <v>22.04517453798768</v>
      </c>
      <c r="FS13" s="12"/>
      <c r="FT13" s="12"/>
      <c r="FU13" s="12">
        <v>0</v>
      </c>
      <c r="FV13" s="12">
        <v>0</v>
      </c>
      <c r="FW13" s="12">
        <v>0</v>
      </c>
      <c r="FX13" s="12">
        <v>0</v>
      </c>
      <c r="FY13" s="12" t="s">
        <v>2224</v>
      </c>
      <c r="FZ13" s="12"/>
    </row>
    <row r="14" spans="1:190" ht="12.75" hidden="1" customHeight="1">
      <c r="A14" s="1" t="s">
        <v>2223</v>
      </c>
      <c r="B14" s="12" t="s">
        <v>2222</v>
      </c>
      <c r="C14" s="12">
        <v>43779752</v>
      </c>
      <c r="D14" s="12">
        <v>0</v>
      </c>
      <c r="E14" s="12">
        <v>0</v>
      </c>
      <c r="F14" s="12">
        <v>0</v>
      </c>
      <c r="G14" s="12">
        <v>1</v>
      </c>
      <c r="H14" s="21"/>
      <c r="I14" s="11">
        <v>41246</v>
      </c>
      <c r="J14" s="11">
        <v>41220</v>
      </c>
      <c r="K14" s="11">
        <v>21891</v>
      </c>
      <c r="L14" s="20">
        <f>(DAYS360(K14,I14))/365</f>
        <v>52.263013698630139</v>
      </c>
      <c r="M14" s="12" t="s">
        <v>370</v>
      </c>
      <c r="N14" s="12">
        <v>1</v>
      </c>
      <c r="O14" s="12">
        <v>0</v>
      </c>
      <c r="P14" s="12" t="s">
        <v>423</v>
      </c>
      <c r="Q14" s="12">
        <v>1</v>
      </c>
      <c r="R14" s="12" t="s">
        <v>466</v>
      </c>
      <c r="S14" s="12" t="s">
        <v>2221</v>
      </c>
      <c r="T14" s="12" t="s">
        <v>368</v>
      </c>
      <c r="U14" s="12">
        <v>0</v>
      </c>
      <c r="V14" s="12">
        <v>0</v>
      </c>
      <c r="W14" s="12">
        <v>1</v>
      </c>
      <c r="X14" s="12" t="s">
        <v>367</v>
      </c>
      <c r="Y14" s="12">
        <v>3</v>
      </c>
      <c r="Z14" s="12">
        <v>1</v>
      </c>
      <c r="AA14" s="12" t="s">
        <v>366</v>
      </c>
      <c r="AB14" s="12" t="s">
        <v>365</v>
      </c>
      <c r="AC14" s="12">
        <v>3</v>
      </c>
      <c r="AD14" s="12" t="s">
        <v>480</v>
      </c>
      <c r="AE14" s="12" t="s">
        <v>479</v>
      </c>
      <c r="AF14" s="12">
        <v>0</v>
      </c>
      <c r="AG14" s="12">
        <v>0</v>
      </c>
      <c r="AH14" s="12">
        <v>0</v>
      </c>
      <c r="AI14" s="11">
        <v>41246</v>
      </c>
      <c r="AJ14" s="11">
        <v>41288</v>
      </c>
      <c r="AK14" s="19" t="s">
        <v>478</v>
      </c>
      <c r="AL14" s="19" t="s">
        <v>357</v>
      </c>
      <c r="AM14" s="12">
        <v>1</v>
      </c>
      <c r="AN14" s="12">
        <v>1</v>
      </c>
      <c r="AO14" s="12">
        <v>0</v>
      </c>
      <c r="AP14" s="12">
        <v>0</v>
      </c>
      <c r="AQ14" s="12">
        <v>0</v>
      </c>
      <c r="AR14" s="12">
        <v>0</v>
      </c>
      <c r="AS14" s="12">
        <f>IF(AND(AM14=0,AU14&lt;=2), 1, 0)</f>
        <v>0</v>
      </c>
      <c r="AT14" s="12">
        <v>0</v>
      </c>
      <c r="AU14" s="12">
        <v>4.5</v>
      </c>
      <c r="AV14" s="19" t="s">
        <v>362</v>
      </c>
      <c r="AW14" s="19"/>
      <c r="AX14" s="12">
        <v>1</v>
      </c>
      <c r="AY14" s="19" t="s">
        <v>357</v>
      </c>
      <c r="AZ14" s="12">
        <v>1</v>
      </c>
      <c r="BA14" s="12">
        <v>7.5</v>
      </c>
      <c r="BB14" s="12">
        <v>196.7</v>
      </c>
      <c r="BC14" s="12">
        <f>11-4.5+0.5</f>
        <v>7</v>
      </c>
      <c r="BD14" s="12">
        <v>2</v>
      </c>
      <c r="BE14" s="12">
        <v>416</v>
      </c>
      <c r="BF14" s="12" t="s">
        <v>2183</v>
      </c>
      <c r="BG14" s="12" t="s">
        <v>360</v>
      </c>
      <c r="BH14" s="12">
        <v>45</v>
      </c>
      <c r="BI14" s="12">
        <v>5.4</v>
      </c>
      <c r="BJ14" s="12">
        <v>1</v>
      </c>
      <c r="BK14" s="12">
        <f>BH14+BI14</f>
        <v>50.4</v>
      </c>
      <c r="BL14" s="12">
        <v>28</v>
      </c>
      <c r="BM14" s="12">
        <v>1.8</v>
      </c>
      <c r="BN14" s="12" t="s">
        <v>359</v>
      </c>
      <c r="BO14" s="12">
        <v>0</v>
      </c>
      <c r="BP14" s="12">
        <v>1</v>
      </c>
      <c r="BQ14" s="12">
        <v>1</v>
      </c>
      <c r="BR14" s="11">
        <v>41246</v>
      </c>
      <c r="BS14" s="12" t="s">
        <v>91</v>
      </c>
      <c r="BT14" s="12" t="s">
        <v>90</v>
      </c>
      <c r="BU14" s="12">
        <v>2</v>
      </c>
      <c r="BV14" s="12">
        <v>1</v>
      </c>
      <c r="BW14" s="12">
        <v>7.98</v>
      </c>
      <c r="BX14" s="12">
        <v>0.55100000000000005</v>
      </c>
      <c r="BY14" s="12">
        <v>0.28299999999999997</v>
      </c>
      <c r="BZ14" s="12">
        <v>12.9</v>
      </c>
      <c r="CA14" s="12">
        <v>218</v>
      </c>
      <c r="CB14" s="12">
        <v>1.61</v>
      </c>
      <c r="CC14" s="12">
        <v>19.600000000000001</v>
      </c>
      <c r="CD14" s="12">
        <v>4.49</v>
      </c>
      <c r="CE14" s="12">
        <v>1</v>
      </c>
      <c r="CF14" s="11">
        <v>41341</v>
      </c>
      <c r="CG14" s="7">
        <f>CF14-AJ14</f>
        <v>53</v>
      </c>
      <c r="CH14" s="17" t="s">
        <v>461</v>
      </c>
      <c r="CI14" s="17" t="s">
        <v>460</v>
      </c>
      <c r="CJ14" s="17" t="s">
        <v>515</v>
      </c>
      <c r="CK14" s="12" t="s">
        <v>663</v>
      </c>
      <c r="CL14" s="12" t="s">
        <v>45</v>
      </c>
      <c r="CM14" s="12">
        <v>1</v>
      </c>
      <c r="CN14" s="12"/>
      <c r="CO14" s="17" t="s">
        <v>1558</v>
      </c>
      <c r="CP14" s="17"/>
      <c r="CQ14" s="17" t="s">
        <v>357</v>
      </c>
      <c r="CR14" s="17">
        <v>0</v>
      </c>
      <c r="CS14" s="12" t="s">
        <v>357</v>
      </c>
      <c r="CT14" s="12" t="s">
        <v>357</v>
      </c>
      <c r="CU14" s="12" t="s">
        <v>357</v>
      </c>
      <c r="CV14" s="17">
        <v>0</v>
      </c>
      <c r="CW14" s="12" t="s">
        <v>357</v>
      </c>
      <c r="CX14" s="12" t="s">
        <v>357</v>
      </c>
      <c r="CY14" s="12" t="s">
        <v>357</v>
      </c>
      <c r="CZ14" s="12">
        <v>0</v>
      </c>
      <c r="DA14" s="12">
        <v>46</v>
      </c>
      <c r="DB14" s="13">
        <f>CZ14/DA14*100</f>
        <v>0</v>
      </c>
      <c r="DC14" s="12" t="s">
        <v>357</v>
      </c>
      <c r="DD14" s="12" t="s">
        <v>357</v>
      </c>
      <c r="DE14" s="12" t="s">
        <v>357</v>
      </c>
      <c r="DF14" s="12" t="s">
        <v>357</v>
      </c>
      <c r="DG14" s="12" t="s">
        <v>2220</v>
      </c>
      <c r="DH14" s="16">
        <v>0</v>
      </c>
      <c r="DI14" s="16">
        <v>0</v>
      </c>
      <c r="DJ14" s="11">
        <v>44293</v>
      </c>
      <c r="DK14" s="11" t="s">
        <v>1556</v>
      </c>
      <c r="DL14" s="12">
        <f>(DJ14-I14)/365.25*12</f>
        <v>100.10677618069815</v>
      </c>
      <c r="DM14" s="12">
        <v>0</v>
      </c>
      <c r="DN14" s="12" t="s">
        <v>357</v>
      </c>
      <c r="DO14" s="12" t="s">
        <v>357</v>
      </c>
      <c r="DP14" s="12" t="s">
        <v>357</v>
      </c>
      <c r="DQ14" s="16">
        <v>0</v>
      </c>
      <c r="DR14" s="11" t="s">
        <v>45</v>
      </c>
      <c r="DS14" s="10">
        <f>IF(DQ14=1, (DR14-$I14)/365.25*12, IF(DQ14=0, $DL14, "ERROR"))</f>
        <v>100.10677618069815</v>
      </c>
      <c r="DT14" s="16">
        <v>0</v>
      </c>
      <c r="DU14" s="16">
        <v>0</v>
      </c>
      <c r="DV14" s="16">
        <v>0</v>
      </c>
      <c r="DW14" s="16">
        <f>DU14*(1-DV14)</f>
        <v>0</v>
      </c>
      <c r="DX14" s="16">
        <f>(1-DU14)*DV14</f>
        <v>0</v>
      </c>
      <c r="DY14" s="16">
        <f>DU14*DV14</f>
        <v>0</v>
      </c>
      <c r="DZ14" s="11" t="s">
        <v>45</v>
      </c>
      <c r="EA14" s="10">
        <f>IF(DT14=1, (DZ14-$I14)/365.25*12, IF(DT14=0, $DL14, "ERROR"))</f>
        <v>100.10677618069815</v>
      </c>
      <c r="EB14" s="16">
        <v>0</v>
      </c>
      <c r="EC14" s="16">
        <v>0</v>
      </c>
      <c r="ED14" s="16">
        <f>1-((1-DQ14)*(1-DT14))</f>
        <v>0</v>
      </c>
      <c r="EE14" s="11" t="s">
        <v>45</v>
      </c>
      <c r="EF14" s="12" t="s">
        <v>357</v>
      </c>
      <c r="EG14" s="16" t="s">
        <v>45</v>
      </c>
      <c r="EH14" s="12" t="s">
        <v>45</v>
      </c>
      <c r="EI14" s="12">
        <v>0</v>
      </c>
      <c r="EJ14" s="16">
        <f>(1-DQ14)*DX14*(1-EI14)</f>
        <v>0</v>
      </c>
      <c r="EK14" s="12" t="s">
        <v>357</v>
      </c>
      <c r="EL14" s="10">
        <f>IF(EI14=1, (EK14-$I14)/365.25*12, IF(EI14=0, $DL14, "ERROR"))</f>
        <v>100.10677618069815</v>
      </c>
      <c r="EM14" s="12" t="s">
        <v>357</v>
      </c>
      <c r="EN14" s="1">
        <v>0</v>
      </c>
      <c r="EO14" s="1">
        <v>0</v>
      </c>
      <c r="EP14" s="1">
        <v>0</v>
      </c>
      <c r="EQ14" s="1">
        <v>0</v>
      </c>
      <c r="ER14" s="1">
        <v>0</v>
      </c>
      <c r="ES14" s="1">
        <v>0</v>
      </c>
      <c r="ET14" s="1">
        <v>0</v>
      </c>
      <c r="EU14" s="1">
        <v>0</v>
      </c>
      <c r="EV14" s="1">
        <v>0</v>
      </c>
      <c r="EW14" s="1">
        <f>1-((1-EP14)*(1-ET14)*(1-EU14)*(1-EV14))</f>
        <v>0</v>
      </c>
      <c r="EX14" s="16">
        <v>0</v>
      </c>
      <c r="EY14" s="7">
        <v>0</v>
      </c>
      <c r="EZ14" s="7">
        <v>0</v>
      </c>
      <c r="FA14" s="7">
        <v>0</v>
      </c>
      <c r="FB14" s="12" t="s">
        <v>357</v>
      </c>
      <c r="FC14" s="12">
        <v>0</v>
      </c>
      <c r="FD14" s="12">
        <v>1</v>
      </c>
      <c r="FE14" s="12"/>
      <c r="FF14" s="30" t="s">
        <v>45</v>
      </c>
      <c r="FG14" s="3">
        <f>IF(FC14=1, FF14, IF(FD14=1, 44348, DJ14))</f>
        <v>44348</v>
      </c>
      <c r="FH14" s="13">
        <f>(FG14-I14)/365.25*12</f>
        <v>101.91375770020534</v>
      </c>
      <c r="FI14" s="13"/>
      <c r="FJ14" s="14">
        <f>IF(OR(DM14,FC14), 1, 0)</f>
        <v>0</v>
      </c>
      <c r="FK14" s="11">
        <f>IF(DM14=1,IF(FC14=1,MIN(DO14,FF14),DO14),IF(FC14=1,FF14,DJ14))</f>
        <v>44293</v>
      </c>
      <c r="FL14" s="13">
        <f>(FK14-$I14)/365.25*12</f>
        <v>100.10677618069815</v>
      </c>
      <c r="FM14" s="14">
        <f>IF(OR(ED14,FC14), 1, 0)</f>
        <v>0</v>
      </c>
      <c r="FN14" s="11">
        <f>IF(ED14=1,IF(FC14=1,MIN(EE14,FF14),EE14),IF(FC14=1,FF14,DJ14))</f>
        <v>44293</v>
      </c>
      <c r="FO14" s="13">
        <f>(FN14-$I14)/365.25*12</f>
        <v>100.10677618069815</v>
      </c>
      <c r="FP14" s="14">
        <f>IF(OR(EI14,FC14), 1, 0)</f>
        <v>0</v>
      </c>
      <c r="FQ14" s="11">
        <f>IF(EI14=1,IF(FC14=1,MIN(EK14,FF14),EK14),IF(FC14=1,FF14,DJ14))</f>
        <v>44293</v>
      </c>
      <c r="FR14" s="13">
        <f>(FQ14-$I14)/365.25*12</f>
        <v>100.10677618069815</v>
      </c>
      <c r="FS14" s="12"/>
      <c r="FT14" s="12"/>
      <c r="FU14" s="12">
        <v>0</v>
      </c>
      <c r="FV14" s="12">
        <v>0</v>
      </c>
      <c r="FW14" s="12">
        <v>0</v>
      </c>
      <c r="FX14" s="12">
        <v>0</v>
      </c>
      <c r="FY14" s="12" t="s">
        <v>2219</v>
      </c>
      <c r="FZ14" s="12"/>
    </row>
    <row r="15" spans="1:190" ht="12.75" hidden="1" customHeight="1">
      <c r="A15" s="1" t="s">
        <v>2218</v>
      </c>
      <c r="B15" s="12" t="s">
        <v>2217</v>
      </c>
      <c r="C15" s="12">
        <v>44106472</v>
      </c>
      <c r="D15" s="12">
        <v>0</v>
      </c>
      <c r="E15" s="12">
        <v>0</v>
      </c>
      <c r="F15" s="12">
        <v>0</v>
      </c>
      <c r="G15" s="12">
        <v>1</v>
      </c>
      <c r="H15" s="21"/>
      <c r="I15" s="11">
        <v>41337</v>
      </c>
      <c r="J15" s="11">
        <v>41326</v>
      </c>
      <c r="K15" s="11">
        <v>17480</v>
      </c>
      <c r="L15" s="20">
        <f>(DAYS360(K15,I15))/365</f>
        <v>64.424657534246577</v>
      </c>
      <c r="M15" s="12" t="s">
        <v>370</v>
      </c>
      <c r="N15" s="12">
        <v>0</v>
      </c>
      <c r="O15" s="12">
        <v>0</v>
      </c>
      <c r="P15" s="12" t="s">
        <v>423</v>
      </c>
      <c r="Q15" s="12">
        <v>1</v>
      </c>
      <c r="R15" s="12" t="s">
        <v>466</v>
      </c>
      <c r="S15" s="12">
        <v>28</v>
      </c>
      <c r="T15" s="12" t="s">
        <v>384</v>
      </c>
      <c r="U15" s="12">
        <v>0</v>
      </c>
      <c r="V15" s="12">
        <v>1</v>
      </c>
      <c r="W15" s="12">
        <v>0</v>
      </c>
      <c r="X15" s="12" t="s">
        <v>367</v>
      </c>
      <c r="Y15" s="12">
        <v>3</v>
      </c>
      <c r="Z15" s="12">
        <v>1</v>
      </c>
      <c r="AA15" s="12" t="s">
        <v>366</v>
      </c>
      <c r="AB15" s="12" t="s">
        <v>365</v>
      </c>
      <c r="AC15" s="12">
        <v>3</v>
      </c>
      <c r="AD15" s="12">
        <v>8</v>
      </c>
      <c r="AE15" s="12"/>
      <c r="AF15" s="12">
        <v>0</v>
      </c>
      <c r="AG15" s="12">
        <v>0</v>
      </c>
      <c r="AH15" s="12">
        <v>0</v>
      </c>
      <c r="AI15" s="11">
        <v>41337</v>
      </c>
      <c r="AJ15" s="11">
        <v>41374</v>
      </c>
      <c r="AK15" s="19" t="s">
        <v>554</v>
      </c>
      <c r="AL15" s="19" t="s">
        <v>357</v>
      </c>
      <c r="AM15" s="12">
        <v>0</v>
      </c>
      <c r="AN15" s="12">
        <v>0</v>
      </c>
      <c r="AO15" s="12">
        <v>0</v>
      </c>
      <c r="AP15" s="12">
        <v>0</v>
      </c>
      <c r="AQ15" s="12">
        <v>0</v>
      </c>
      <c r="AR15" s="12">
        <v>0</v>
      </c>
      <c r="AS15" s="12">
        <f>IF(AND(AM15=0,AU15&lt;=2), 1, 0)</f>
        <v>0</v>
      </c>
      <c r="AT15" s="12">
        <v>0</v>
      </c>
      <c r="AU15" s="12">
        <v>4.5</v>
      </c>
      <c r="AV15" s="19" t="s">
        <v>362</v>
      </c>
      <c r="AW15" s="19"/>
      <c r="AX15" s="12">
        <v>1</v>
      </c>
      <c r="AY15" s="19" t="s">
        <v>357</v>
      </c>
      <c r="AZ15" s="12">
        <v>1</v>
      </c>
      <c r="BA15" s="12">
        <v>7</v>
      </c>
      <c r="BB15" s="12">
        <v>168.4</v>
      </c>
      <c r="BC15" s="12">
        <v>4</v>
      </c>
      <c r="BD15" s="12">
        <v>4</v>
      </c>
      <c r="BE15" s="12">
        <v>412.9</v>
      </c>
      <c r="BF15" s="12" t="s">
        <v>2216</v>
      </c>
      <c r="BG15" s="12" t="s">
        <v>360</v>
      </c>
      <c r="BH15" s="12">
        <v>45</v>
      </c>
      <c r="BI15" s="12">
        <v>5.4</v>
      </c>
      <c r="BJ15" s="12">
        <v>1</v>
      </c>
      <c r="BK15" s="12">
        <f>BH15+BI15</f>
        <v>50.4</v>
      </c>
      <c r="BL15" s="12">
        <v>28</v>
      </c>
      <c r="BM15" s="12">
        <v>1.8</v>
      </c>
      <c r="BN15" s="12" t="s">
        <v>359</v>
      </c>
      <c r="BO15" s="12">
        <v>0</v>
      </c>
      <c r="BP15" s="12">
        <v>1</v>
      </c>
      <c r="BQ15" s="12">
        <v>1</v>
      </c>
      <c r="BR15" s="11">
        <v>41337</v>
      </c>
      <c r="BS15" s="12" t="s">
        <v>1560</v>
      </c>
      <c r="BT15" s="12" t="s">
        <v>1559</v>
      </c>
      <c r="BU15" s="12">
        <v>6</v>
      </c>
      <c r="BV15" s="12">
        <v>1</v>
      </c>
      <c r="BW15" s="12">
        <v>6.32</v>
      </c>
      <c r="BX15" s="12">
        <v>0.65700000000000003</v>
      </c>
      <c r="BY15" s="12">
        <v>0.26</v>
      </c>
      <c r="BZ15" s="12">
        <v>13.5</v>
      </c>
      <c r="CA15" s="12">
        <v>201</v>
      </c>
      <c r="CB15" s="12">
        <v>1.54</v>
      </c>
      <c r="CC15" s="12"/>
      <c r="CD15" s="12">
        <v>6.4</v>
      </c>
      <c r="CE15" s="12">
        <v>1</v>
      </c>
      <c r="CF15" s="11">
        <v>41417</v>
      </c>
      <c r="CG15" s="7">
        <f>CF15-AJ15</f>
        <v>43</v>
      </c>
      <c r="CH15" s="17" t="s">
        <v>461</v>
      </c>
      <c r="CI15" s="17" t="s">
        <v>460</v>
      </c>
      <c r="CJ15" s="17" t="s">
        <v>515</v>
      </c>
      <c r="CK15" s="12" t="s">
        <v>663</v>
      </c>
      <c r="CL15" s="12" t="s">
        <v>45</v>
      </c>
      <c r="CM15" s="12">
        <v>1</v>
      </c>
      <c r="CN15" s="12"/>
      <c r="CO15" s="17" t="s">
        <v>1558</v>
      </c>
      <c r="CP15" s="17"/>
      <c r="CQ15" s="17" t="s">
        <v>357</v>
      </c>
      <c r="CR15" s="17">
        <v>0</v>
      </c>
      <c r="CS15" s="12" t="s">
        <v>357</v>
      </c>
      <c r="CT15" s="12" t="s">
        <v>357</v>
      </c>
      <c r="CU15" s="12" t="s">
        <v>357</v>
      </c>
      <c r="CV15" s="17">
        <v>0</v>
      </c>
      <c r="CW15" s="12" t="s">
        <v>357</v>
      </c>
      <c r="CX15" s="12" t="s">
        <v>357</v>
      </c>
      <c r="CY15" s="12" t="s">
        <v>357</v>
      </c>
      <c r="CZ15" s="12">
        <v>0</v>
      </c>
      <c r="DA15" s="12">
        <v>35</v>
      </c>
      <c r="DB15" s="13">
        <f>CZ15/DA15*100</f>
        <v>0</v>
      </c>
      <c r="DC15" s="12" t="s">
        <v>357</v>
      </c>
      <c r="DD15" s="12" t="s">
        <v>357</v>
      </c>
      <c r="DE15" s="12" t="s">
        <v>357</v>
      </c>
      <c r="DF15" s="12" t="s">
        <v>357</v>
      </c>
      <c r="DG15" s="12" t="s">
        <v>2215</v>
      </c>
      <c r="DH15" s="16">
        <v>0</v>
      </c>
      <c r="DI15" s="16">
        <v>0</v>
      </c>
      <c r="DJ15" s="11">
        <v>41773</v>
      </c>
      <c r="DK15" s="11" t="s">
        <v>2214</v>
      </c>
      <c r="DL15" s="12">
        <f>(DJ15-I15)/365.25*12</f>
        <v>14.324435318275155</v>
      </c>
      <c r="DM15" s="12">
        <v>1</v>
      </c>
      <c r="DN15" s="12" t="s">
        <v>2213</v>
      </c>
      <c r="DO15" s="11">
        <v>41726</v>
      </c>
      <c r="DP15" s="11" t="s">
        <v>2059</v>
      </c>
      <c r="DQ15" s="16">
        <v>0</v>
      </c>
      <c r="DR15" s="11" t="s">
        <v>45</v>
      </c>
      <c r="DS15" s="10">
        <f>IF(DQ15=1, (DR15-$I15)/365.25*12, IF(DQ15=0, $DL15, "ERROR"))</f>
        <v>14.324435318275155</v>
      </c>
      <c r="DT15" s="16">
        <v>1</v>
      </c>
      <c r="DU15" s="16">
        <v>1</v>
      </c>
      <c r="DV15" s="16">
        <v>0</v>
      </c>
      <c r="DW15" s="16">
        <f>DU15*(1-DV15)</f>
        <v>1</v>
      </c>
      <c r="DX15" s="16">
        <f>(1-DU15)*DV15</f>
        <v>0</v>
      </c>
      <c r="DY15" s="16">
        <f>DU15*DV15</f>
        <v>0</v>
      </c>
      <c r="DZ15" s="11">
        <v>41726</v>
      </c>
      <c r="EA15" s="10">
        <f>IF(DT15=1, (DZ15-$I15)/365.25*12, IF(DT15=0, $DL15, "ERROR"))</f>
        <v>12.780287474332649</v>
      </c>
      <c r="EB15" s="16">
        <v>1</v>
      </c>
      <c r="EC15" s="16">
        <v>0</v>
      </c>
      <c r="ED15" s="16">
        <f>1-((1-DQ15)*(1-DT15))</f>
        <v>1</v>
      </c>
      <c r="EE15" s="11">
        <f>MIN(DR15,DZ15)</f>
        <v>41726</v>
      </c>
      <c r="EF15" s="11" t="s">
        <v>2212</v>
      </c>
      <c r="EG15" s="16" t="s">
        <v>45</v>
      </c>
      <c r="EH15" s="11" t="s">
        <v>45</v>
      </c>
      <c r="EI15" s="12">
        <v>1</v>
      </c>
      <c r="EJ15" s="16">
        <f>(1-DQ15)*DX15*(1-EI15)</f>
        <v>0</v>
      </c>
      <c r="EK15" s="11">
        <v>41726</v>
      </c>
      <c r="EL15" s="10">
        <f>IF(EI15=1, (EK15-$I15)/365.25*12, IF(EI15=0, $DL15, "ERROR"))</f>
        <v>12.780287474332649</v>
      </c>
      <c r="EM15" s="11" t="s">
        <v>598</v>
      </c>
      <c r="EN15" s="16">
        <v>1</v>
      </c>
      <c r="EO15" s="16">
        <v>0</v>
      </c>
      <c r="EP15" s="16">
        <v>0</v>
      </c>
      <c r="EQ15" s="16">
        <v>0</v>
      </c>
      <c r="ER15" s="16">
        <v>0</v>
      </c>
      <c r="ES15" s="16">
        <v>0</v>
      </c>
      <c r="ET15" s="16">
        <v>0</v>
      </c>
      <c r="EU15" s="16">
        <v>0</v>
      </c>
      <c r="EV15" s="16">
        <v>0</v>
      </c>
      <c r="EW15" s="1">
        <f>1-((1-EP15)*(1-ET15)*(1-EU15)*(1-EV15))</f>
        <v>0</v>
      </c>
      <c r="EX15" s="16">
        <v>0</v>
      </c>
      <c r="EY15" s="7">
        <v>0</v>
      </c>
      <c r="EZ15" s="7">
        <v>0</v>
      </c>
      <c r="FA15" s="7">
        <v>0</v>
      </c>
      <c r="FB15" s="11" t="s">
        <v>45</v>
      </c>
      <c r="FC15" s="12">
        <v>1</v>
      </c>
      <c r="FD15" s="12">
        <v>1</v>
      </c>
      <c r="FE15" s="11" t="s">
        <v>2211</v>
      </c>
      <c r="FF15" s="18">
        <v>42141</v>
      </c>
      <c r="FG15" s="3">
        <f>IF(FC15=1, FF15, IF(FD15=1, 44348, DJ15))</f>
        <v>42141</v>
      </c>
      <c r="FH15" s="13">
        <f>(FG15-I15)/365.25*12</f>
        <v>26.414784394250518</v>
      </c>
      <c r="FI15" s="13"/>
      <c r="FJ15" s="14">
        <f>IF(OR(DM15,FC15), 1, 0)</f>
        <v>1</v>
      </c>
      <c r="FK15" s="11">
        <f>IF(DM15=1,IF(FC15=1,MIN(DO15,FF15),DO15),IF(FC15=1,FF15,DJ15))</f>
        <v>41726</v>
      </c>
      <c r="FL15" s="13">
        <f>(FK15-$I15)/365.25*12</f>
        <v>12.780287474332649</v>
      </c>
      <c r="FM15" s="14">
        <f>IF(OR(ED15,FC15), 1, 0)</f>
        <v>1</v>
      </c>
      <c r="FN15" s="11">
        <f>IF(ED15=1,IF(FC15=1,MIN(EE15,FF15),EE15),IF(FC15=1,FF15,DJ15))</f>
        <v>41726</v>
      </c>
      <c r="FO15" s="13">
        <f>(FN15-$I15)/365.25*12</f>
        <v>12.780287474332649</v>
      </c>
      <c r="FP15" s="14">
        <f>IF(OR(EI15,FC15), 1, 0)</f>
        <v>1</v>
      </c>
      <c r="FQ15" s="11">
        <f>IF(EI15=1,IF(FC15=1,MIN(EK15,FF15),EK15),IF(FC15=1,FF15,DJ15))</f>
        <v>41726</v>
      </c>
      <c r="FR15" s="13">
        <f>(FQ15-$I15)/365.25*12</f>
        <v>12.780287474332649</v>
      </c>
      <c r="FS15" s="12"/>
      <c r="FT15" s="12"/>
      <c r="FU15" s="12">
        <v>1</v>
      </c>
      <c r="FV15" s="12">
        <v>1</v>
      </c>
      <c r="FW15" s="12">
        <v>0</v>
      </c>
      <c r="FX15" s="12">
        <v>0</v>
      </c>
      <c r="FY15" s="12" t="s">
        <v>2210</v>
      </c>
      <c r="FZ15" s="12"/>
    </row>
    <row r="16" spans="1:190" ht="12.75" hidden="1" customHeight="1">
      <c r="A16" s="1" t="s">
        <v>2209</v>
      </c>
      <c r="B16" s="12" t="s">
        <v>2208</v>
      </c>
      <c r="C16" s="12">
        <v>37598592</v>
      </c>
      <c r="D16" s="12">
        <v>0</v>
      </c>
      <c r="E16" s="12">
        <v>0</v>
      </c>
      <c r="F16" s="12">
        <v>0</v>
      </c>
      <c r="G16" s="12">
        <v>1</v>
      </c>
      <c r="H16" s="21"/>
      <c r="I16" s="11">
        <v>41417</v>
      </c>
      <c r="J16" s="11">
        <v>41393</v>
      </c>
      <c r="K16" s="11">
        <v>17491</v>
      </c>
      <c r="L16" s="20">
        <f>(DAYS360(K16,I16))/365</f>
        <v>64.610958904109594</v>
      </c>
      <c r="M16" s="12" t="s">
        <v>370</v>
      </c>
      <c r="N16" s="12">
        <v>1</v>
      </c>
      <c r="O16" s="12">
        <v>0</v>
      </c>
      <c r="P16" s="12" t="s">
        <v>423</v>
      </c>
      <c r="Q16" s="12">
        <v>1</v>
      </c>
      <c r="R16" s="12" t="s">
        <v>466</v>
      </c>
      <c r="S16" s="12" t="s">
        <v>2207</v>
      </c>
      <c r="T16" s="12" t="s">
        <v>368</v>
      </c>
      <c r="U16" s="12">
        <v>0</v>
      </c>
      <c r="V16" s="12">
        <v>0</v>
      </c>
      <c r="W16" s="12">
        <v>1</v>
      </c>
      <c r="X16" s="12" t="s">
        <v>367</v>
      </c>
      <c r="Y16" s="12">
        <v>3</v>
      </c>
      <c r="Z16" s="12">
        <v>1</v>
      </c>
      <c r="AA16" s="12" t="s">
        <v>366</v>
      </c>
      <c r="AB16" s="12" t="s">
        <v>365</v>
      </c>
      <c r="AC16" s="12">
        <v>3</v>
      </c>
      <c r="AD16" s="12" t="s">
        <v>540</v>
      </c>
      <c r="AE16" s="12" t="s">
        <v>465</v>
      </c>
      <c r="AF16" s="12">
        <v>0</v>
      </c>
      <c r="AG16" s="12">
        <v>0</v>
      </c>
      <c r="AH16" s="12">
        <v>0</v>
      </c>
      <c r="AI16" s="11">
        <v>41417</v>
      </c>
      <c r="AJ16" s="11">
        <v>41457</v>
      </c>
      <c r="AK16" s="19" t="s">
        <v>2084</v>
      </c>
      <c r="AL16" s="19" t="s">
        <v>392</v>
      </c>
      <c r="AM16" s="12">
        <v>0</v>
      </c>
      <c r="AN16" s="12">
        <v>0</v>
      </c>
      <c r="AO16" s="12">
        <v>0</v>
      </c>
      <c r="AP16" s="12">
        <v>0</v>
      </c>
      <c r="AQ16" s="12">
        <v>0</v>
      </c>
      <c r="AR16" s="12">
        <v>0</v>
      </c>
      <c r="AS16" s="12">
        <f>IF(AND(AM16=0,AU16&lt;=2), 1, 0)</f>
        <v>0</v>
      </c>
      <c r="AT16" s="12">
        <v>0</v>
      </c>
      <c r="AU16" s="12">
        <v>4</v>
      </c>
      <c r="AV16" s="19" t="s">
        <v>362</v>
      </c>
      <c r="AW16" s="19"/>
      <c r="AX16" s="12">
        <v>2</v>
      </c>
      <c r="AY16" s="12">
        <v>1</v>
      </c>
      <c r="AZ16" s="19" t="s">
        <v>362</v>
      </c>
      <c r="BA16" s="12">
        <f>6+4.5+0.5</f>
        <v>11</v>
      </c>
      <c r="BB16" s="12">
        <v>306.39999999999998</v>
      </c>
      <c r="BC16" s="12">
        <v>4.5</v>
      </c>
      <c r="BD16" s="12">
        <v>3.5</v>
      </c>
      <c r="BE16" s="12">
        <v>567.9</v>
      </c>
      <c r="BF16" s="12" t="s">
        <v>2206</v>
      </c>
      <c r="BG16" s="12" t="s">
        <v>360</v>
      </c>
      <c r="BH16" s="12">
        <v>45</v>
      </c>
      <c r="BI16" s="12">
        <v>5.4</v>
      </c>
      <c r="BJ16" s="12">
        <v>1</v>
      </c>
      <c r="BK16" s="12">
        <f>BH16+BI16</f>
        <v>50.4</v>
      </c>
      <c r="BL16" s="12">
        <v>28</v>
      </c>
      <c r="BM16" s="12">
        <v>1.8</v>
      </c>
      <c r="BN16" s="12" t="s">
        <v>359</v>
      </c>
      <c r="BO16" s="12">
        <v>0</v>
      </c>
      <c r="BP16" s="12">
        <v>1</v>
      </c>
      <c r="BQ16" s="12">
        <v>1</v>
      </c>
      <c r="BR16" s="11">
        <v>41409</v>
      </c>
      <c r="BS16" s="12" t="s">
        <v>1560</v>
      </c>
      <c r="BT16" s="12" t="s">
        <v>1559</v>
      </c>
      <c r="BU16" s="12">
        <v>4</v>
      </c>
      <c r="BV16" s="12">
        <v>0</v>
      </c>
      <c r="BW16" s="12">
        <v>9.64</v>
      </c>
      <c r="BX16" s="12">
        <v>0.66700000000000004</v>
      </c>
      <c r="BY16" s="12">
        <v>0.224</v>
      </c>
      <c r="BZ16" s="12">
        <v>14.9</v>
      </c>
      <c r="CA16" s="12">
        <v>233</v>
      </c>
      <c r="CB16" s="12">
        <v>1.89</v>
      </c>
      <c r="CC16" s="12">
        <v>21.1</v>
      </c>
      <c r="CD16" s="12">
        <v>7.26</v>
      </c>
      <c r="CE16" s="12">
        <v>1</v>
      </c>
      <c r="CF16" s="11">
        <v>41499</v>
      </c>
      <c r="CG16" s="7">
        <f>CF16-AJ16</f>
        <v>42</v>
      </c>
      <c r="CH16" s="12" t="s">
        <v>497</v>
      </c>
      <c r="CI16" s="12" t="s">
        <v>183</v>
      </c>
      <c r="CJ16" s="17" t="s">
        <v>515</v>
      </c>
      <c r="CK16" s="12" t="s">
        <v>2205</v>
      </c>
      <c r="CL16" s="12" t="s">
        <v>381</v>
      </c>
      <c r="CM16" s="12">
        <v>0</v>
      </c>
      <c r="CN16" s="12"/>
      <c r="CO16" s="12" t="s">
        <v>1549</v>
      </c>
      <c r="CP16" s="12"/>
      <c r="CQ16" s="17" t="s">
        <v>2204</v>
      </c>
      <c r="CR16" s="17">
        <v>3.8</v>
      </c>
      <c r="CS16" s="12" t="s">
        <v>1581</v>
      </c>
      <c r="CT16" s="12" t="s">
        <v>511</v>
      </c>
      <c r="CU16" s="12" t="s">
        <v>2203</v>
      </c>
      <c r="CV16" s="17">
        <v>0</v>
      </c>
      <c r="CW16" s="12">
        <v>0.1</v>
      </c>
      <c r="CX16" s="12">
        <v>0.6</v>
      </c>
      <c r="CY16" s="12">
        <v>0.3</v>
      </c>
      <c r="CZ16" s="12">
        <v>1</v>
      </c>
      <c r="DA16" s="12">
        <v>42</v>
      </c>
      <c r="DB16" s="13">
        <f>CZ16/DA16*100</f>
        <v>2.3809523809523809</v>
      </c>
      <c r="DC16" s="12">
        <v>1</v>
      </c>
      <c r="DD16" s="12">
        <v>0</v>
      </c>
      <c r="DE16" s="12">
        <v>1</v>
      </c>
      <c r="DF16" s="12">
        <v>0</v>
      </c>
      <c r="DG16" s="12" t="s">
        <v>2202</v>
      </c>
      <c r="DH16" s="16">
        <v>0</v>
      </c>
      <c r="DI16" s="16">
        <v>0</v>
      </c>
      <c r="DJ16" s="11">
        <v>43102</v>
      </c>
      <c r="DK16" s="11" t="s">
        <v>339</v>
      </c>
      <c r="DL16" s="12">
        <f>(DJ16-I16)/365.25*12</f>
        <v>55.359342915811084</v>
      </c>
      <c r="DM16" s="12">
        <v>1</v>
      </c>
      <c r="DN16" s="12" t="s">
        <v>2201</v>
      </c>
      <c r="DO16" s="11">
        <v>41696</v>
      </c>
      <c r="DP16" s="19"/>
      <c r="DQ16" s="16">
        <v>1</v>
      </c>
      <c r="DR16" s="11">
        <v>41696</v>
      </c>
      <c r="DS16" s="10">
        <f>IF(DQ16=1, (DR16-$I16)/365.25*12, IF(DQ16=0, $DL16, "ERROR"))</f>
        <v>9.1663244353182751</v>
      </c>
      <c r="DT16" s="16">
        <v>1</v>
      </c>
      <c r="DU16" s="16">
        <v>0</v>
      </c>
      <c r="DV16" s="16">
        <v>1</v>
      </c>
      <c r="DW16" s="16">
        <f>DU16*(1-DV16)</f>
        <v>0</v>
      </c>
      <c r="DX16" s="16">
        <f>(1-DU16)*DV16</f>
        <v>1</v>
      </c>
      <c r="DY16" s="16">
        <f>DU16*DV16</f>
        <v>0</v>
      </c>
      <c r="DZ16" s="11">
        <v>42663</v>
      </c>
      <c r="EA16" s="10">
        <f>IF(DT16=1, (DZ16-$I16)/365.25*12, IF(DT16=0, $DL16, "ERROR"))</f>
        <v>40.936344969199183</v>
      </c>
      <c r="EB16" s="16">
        <v>1</v>
      </c>
      <c r="EC16" s="16">
        <v>0</v>
      </c>
      <c r="ED16" s="16">
        <f>1-((1-DQ16)*(1-DT16))</f>
        <v>1</v>
      </c>
      <c r="EE16" s="11">
        <f>MIN(DR16,DZ16)</f>
        <v>41696</v>
      </c>
      <c r="EF16" s="11" t="s">
        <v>2200</v>
      </c>
      <c r="EG16" s="16">
        <v>1</v>
      </c>
      <c r="EH16" s="11" t="s">
        <v>2199</v>
      </c>
      <c r="EI16" s="12">
        <v>1</v>
      </c>
      <c r="EJ16" s="16">
        <f>(1-DQ16)*DX16*(1-EI16)</f>
        <v>0</v>
      </c>
      <c r="EK16" s="11">
        <v>42850</v>
      </c>
      <c r="EL16" s="10">
        <f>IF(EI16=1, (EK16-$I16)/365.25*12, IF(EI16=0, $DL16, "ERROR"))</f>
        <v>47.080082135523611</v>
      </c>
      <c r="EM16" s="11" t="s">
        <v>2198</v>
      </c>
      <c r="EN16" s="16">
        <v>1</v>
      </c>
      <c r="EO16" s="16">
        <v>0</v>
      </c>
      <c r="EP16" s="16">
        <v>0</v>
      </c>
      <c r="EQ16" s="16">
        <v>1</v>
      </c>
      <c r="ER16" s="16">
        <v>0</v>
      </c>
      <c r="ES16" s="16">
        <v>0</v>
      </c>
      <c r="ET16" s="16">
        <v>0</v>
      </c>
      <c r="EU16" s="16">
        <v>0</v>
      </c>
      <c r="EV16" s="16">
        <v>0</v>
      </c>
      <c r="EW16" s="1">
        <f>1-((1-EP16)*(1-ET16)*(1-EU16)*(1-EV16))</f>
        <v>0</v>
      </c>
      <c r="EX16" s="16">
        <v>0</v>
      </c>
      <c r="EY16" s="7">
        <v>0</v>
      </c>
      <c r="EZ16" s="7">
        <v>0</v>
      </c>
      <c r="FA16" s="7">
        <v>0</v>
      </c>
      <c r="FB16" s="11" t="s">
        <v>45</v>
      </c>
      <c r="FC16" s="12">
        <v>1</v>
      </c>
      <c r="FD16" s="12">
        <v>1</v>
      </c>
      <c r="FE16" s="11"/>
      <c r="FF16" s="30">
        <v>43102</v>
      </c>
      <c r="FG16" s="3">
        <f>IF(FC16=1, FF16, IF(FD16=1, 44348, DJ16))</f>
        <v>43102</v>
      </c>
      <c r="FH16" s="13">
        <f>(FG16-I16)/365.25*12</f>
        <v>55.359342915811084</v>
      </c>
      <c r="FI16" s="13"/>
      <c r="FJ16" s="14">
        <f>IF(OR(DM16,FC16), 1, 0)</f>
        <v>1</v>
      </c>
      <c r="FK16" s="11">
        <f>IF(DM16=1,IF(FC16=1,MIN(DO16,FF16),DO16),IF(FC16=1,FF16,DJ16))</f>
        <v>41696</v>
      </c>
      <c r="FL16" s="13">
        <f>(FK16-$I16)/365.25*12</f>
        <v>9.1663244353182751</v>
      </c>
      <c r="FM16" s="14">
        <f>IF(OR(ED16,FC16), 1, 0)</f>
        <v>1</v>
      </c>
      <c r="FN16" s="11">
        <f>IF(ED16=1,IF(FC16=1,MIN(EE16,FF16),EE16),IF(FC16=1,FF16,DJ16))</f>
        <v>41696</v>
      </c>
      <c r="FO16" s="13">
        <f>(FN16-$I16)/365.25*12</f>
        <v>9.1663244353182751</v>
      </c>
      <c r="FP16" s="14">
        <f>IF(OR(EI16,FC16), 1, 0)</f>
        <v>1</v>
      </c>
      <c r="FQ16" s="11">
        <f>IF(EI16=1,IF(FC16=1,MIN(EK16,FF16),EK16),IF(FC16=1,FF16,DJ16))</f>
        <v>42850</v>
      </c>
      <c r="FR16" s="13">
        <f>(FQ16-$I16)/365.25*12</f>
        <v>47.080082135523611</v>
      </c>
      <c r="FS16" s="12"/>
      <c r="FT16" s="12"/>
      <c r="FU16" s="12">
        <v>1</v>
      </c>
      <c r="FV16" s="12">
        <v>1</v>
      </c>
      <c r="FW16" s="12">
        <v>1</v>
      </c>
      <c r="FX16" s="12">
        <v>0</v>
      </c>
      <c r="FY16" s="12" t="s">
        <v>2197</v>
      </c>
      <c r="FZ16" s="12"/>
    </row>
    <row r="17" spans="1:182" ht="12.75" hidden="1" customHeight="1">
      <c r="A17" s="1" t="s">
        <v>2196</v>
      </c>
      <c r="B17" s="12" t="s">
        <v>2195</v>
      </c>
      <c r="C17" s="12">
        <v>44505776</v>
      </c>
      <c r="D17" s="12">
        <v>0</v>
      </c>
      <c r="E17" s="12">
        <v>0</v>
      </c>
      <c r="F17" s="12">
        <v>0</v>
      </c>
      <c r="G17" s="12">
        <v>1</v>
      </c>
      <c r="H17" s="21"/>
      <c r="I17" s="11">
        <v>41449</v>
      </c>
      <c r="J17" s="11">
        <v>41430</v>
      </c>
      <c r="K17" s="11">
        <v>18401</v>
      </c>
      <c r="L17" s="20">
        <f>(DAYS360(K17,I17))/365</f>
        <v>62.235616438356168</v>
      </c>
      <c r="M17" s="12" t="s">
        <v>370</v>
      </c>
      <c r="N17" s="12">
        <v>1</v>
      </c>
      <c r="O17" s="12">
        <v>0</v>
      </c>
      <c r="P17" s="12" t="s">
        <v>423</v>
      </c>
      <c r="Q17" s="12">
        <v>1</v>
      </c>
      <c r="R17" s="12" t="s">
        <v>466</v>
      </c>
      <c r="S17" s="12">
        <v>28</v>
      </c>
      <c r="T17" s="12" t="s">
        <v>384</v>
      </c>
      <c r="U17" s="12">
        <v>0</v>
      </c>
      <c r="V17" s="12">
        <v>1</v>
      </c>
      <c r="W17" s="12">
        <v>0</v>
      </c>
      <c r="X17" s="12" t="s">
        <v>365</v>
      </c>
      <c r="Y17" s="12">
        <v>3</v>
      </c>
      <c r="Z17" s="12">
        <v>1</v>
      </c>
      <c r="AA17" s="12" t="s">
        <v>366</v>
      </c>
      <c r="AB17" s="12" t="s">
        <v>365</v>
      </c>
      <c r="AC17" s="12">
        <v>3</v>
      </c>
      <c r="AD17" s="12" t="s">
        <v>2194</v>
      </c>
      <c r="AE17" s="12"/>
      <c r="AF17" s="12">
        <v>0</v>
      </c>
      <c r="AG17" s="12">
        <v>0</v>
      </c>
      <c r="AH17" s="12">
        <v>0</v>
      </c>
      <c r="AI17" s="11">
        <v>41449</v>
      </c>
      <c r="AJ17" s="11">
        <v>41486</v>
      </c>
      <c r="AK17" s="19" t="s">
        <v>2193</v>
      </c>
      <c r="AL17" s="19" t="s">
        <v>357</v>
      </c>
      <c r="AM17" s="12">
        <v>0</v>
      </c>
      <c r="AN17" s="12">
        <v>0</v>
      </c>
      <c r="AO17" s="12">
        <v>0</v>
      </c>
      <c r="AP17" s="12">
        <v>0</v>
      </c>
      <c r="AQ17" s="12">
        <v>0</v>
      </c>
      <c r="AR17" s="12">
        <v>0</v>
      </c>
      <c r="AS17" s="12">
        <f>IF(AND(AM17=0,AU17&lt;=2), 1, 0)</f>
        <v>0</v>
      </c>
      <c r="AT17" s="12">
        <v>0</v>
      </c>
      <c r="AU17" s="12">
        <v>4</v>
      </c>
      <c r="AV17" s="12">
        <v>1</v>
      </c>
      <c r="AW17" s="12"/>
      <c r="AX17" s="12">
        <v>0</v>
      </c>
      <c r="AY17" s="19" t="s">
        <v>357</v>
      </c>
      <c r="AZ17" s="19" t="s">
        <v>362</v>
      </c>
      <c r="BA17" s="12">
        <f>10.5-6+0.5</f>
        <v>5</v>
      </c>
      <c r="BB17" s="12">
        <v>126.7</v>
      </c>
      <c r="BC17" s="12">
        <f>14.5-11+0.5</f>
        <v>4</v>
      </c>
      <c r="BD17" s="12">
        <v>2</v>
      </c>
      <c r="BE17" s="12">
        <v>364.9</v>
      </c>
      <c r="BF17" s="12" t="s">
        <v>2192</v>
      </c>
      <c r="BG17" s="12" t="s">
        <v>360</v>
      </c>
      <c r="BH17" s="12">
        <v>45</v>
      </c>
      <c r="BI17" s="12">
        <v>5.4</v>
      </c>
      <c r="BJ17" s="12">
        <v>1</v>
      </c>
      <c r="BK17" s="12">
        <f>BH17+BI17</f>
        <v>50.4</v>
      </c>
      <c r="BL17" s="12">
        <v>28</v>
      </c>
      <c r="BM17" s="12">
        <v>1.8</v>
      </c>
      <c r="BN17" s="12" t="s">
        <v>359</v>
      </c>
      <c r="BO17" s="12">
        <v>0</v>
      </c>
      <c r="BP17" s="12">
        <v>1</v>
      </c>
      <c r="BQ17" s="12">
        <v>1</v>
      </c>
      <c r="BR17" s="11">
        <v>41449</v>
      </c>
      <c r="BS17" s="12" t="s">
        <v>91</v>
      </c>
      <c r="BT17" s="12" t="s">
        <v>90</v>
      </c>
      <c r="BU17" s="12">
        <v>2</v>
      </c>
      <c r="BV17" s="12">
        <v>1</v>
      </c>
      <c r="BW17" s="12">
        <v>7.3</v>
      </c>
      <c r="BX17" s="12">
        <v>0.69899999999999995</v>
      </c>
      <c r="BY17" s="12">
        <v>0.19900000000000001</v>
      </c>
      <c r="BZ17" s="12">
        <v>13.2</v>
      </c>
      <c r="CA17" s="12">
        <v>176</v>
      </c>
      <c r="CB17" s="12">
        <v>1.72</v>
      </c>
      <c r="CC17" s="12">
        <v>13.6</v>
      </c>
      <c r="CD17" s="12">
        <v>6.9</v>
      </c>
      <c r="CE17" s="12">
        <v>1</v>
      </c>
      <c r="CF17" s="11">
        <v>41529</v>
      </c>
      <c r="CG17" s="7">
        <f>CF17-AJ17</f>
        <v>43</v>
      </c>
      <c r="CH17" s="17" t="s">
        <v>461</v>
      </c>
      <c r="CI17" s="17" t="s">
        <v>460</v>
      </c>
      <c r="CJ17" s="17" t="s">
        <v>515</v>
      </c>
      <c r="CK17" s="12" t="s">
        <v>877</v>
      </c>
      <c r="CL17" s="12" t="s">
        <v>45</v>
      </c>
      <c r="CM17" s="12">
        <v>1</v>
      </c>
      <c r="CN17" s="12"/>
      <c r="CO17" s="17" t="s">
        <v>2191</v>
      </c>
      <c r="CP17" s="17"/>
      <c r="CQ17" s="17" t="s">
        <v>357</v>
      </c>
      <c r="CR17" s="17">
        <v>0</v>
      </c>
      <c r="CS17" s="12" t="s">
        <v>357</v>
      </c>
      <c r="CT17" s="12" t="s">
        <v>357</v>
      </c>
      <c r="CU17" s="12" t="s">
        <v>357</v>
      </c>
      <c r="CV17" s="17">
        <v>0</v>
      </c>
      <c r="CW17" s="12" t="s">
        <v>357</v>
      </c>
      <c r="CX17" s="12" t="s">
        <v>357</v>
      </c>
      <c r="CY17" s="12" t="s">
        <v>357</v>
      </c>
      <c r="CZ17" s="12">
        <v>2</v>
      </c>
      <c r="DA17" s="12">
        <v>44</v>
      </c>
      <c r="DB17" s="13">
        <f>CZ17/DA17*100</f>
        <v>4.5454545454545459</v>
      </c>
      <c r="DC17" s="12" t="s">
        <v>357</v>
      </c>
      <c r="DD17" s="12" t="s">
        <v>357</v>
      </c>
      <c r="DE17" s="12" t="s">
        <v>357</v>
      </c>
      <c r="DF17" s="12" t="s">
        <v>357</v>
      </c>
      <c r="DG17" s="12" t="s">
        <v>2190</v>
      </c>
      <c r="DH17" s="16">
        <v>0</v>
      </c>
      <c r="DI17" s="16">
        <v>0</v>
      </c>
      <c r="DJ17" s="11">
        <v>44241</v>
      </c>
      <c r="DK17" s="11" t="s">
        <v>1556</v>
      </c>
      <c r="DL17" s="12">
        <f>(DJ17-I17)/365.25*12</f>
        <v>91.728952772073924</v>
      </c>
      <c r="DM17" s="12">
        <v>0</v>
      </c>
      <c r="DN17" s="12" t="s">
        <v>357</v>
      </c>
      <c r="DO17" s="12" t="s">
        <v>357</v>
      </c>
      <c r="DP17" s="12" t="s">
        <v>357</v>
      </c>
      <c r="DQ17" s="16">
        <v>0</v>
      </c>
      <c r="DR17" s="11" t="s">
        <v>45</v>
      </c>
      <c r="DS17" s="10">
        <f>IF(DQ17=1, (DR17-$I17)/365.25*12, IF(DQ17=0, $DL17, "ERROR"))</f>
        <v>91.728952772073924</v>
      </c>
      <c r="DT17" s="16">
        <v>0</v>
      </c>
      <c r="DU17" s="16">
        <v>0</v>
      </c>
      <c r="DV17" s="16">
        <v>0</v>
      </c>
      <c r="DW17" s="16">
        <f>DU17*(1-DV17)</f>
        <v>0</v>
      </c>
      <c r="DX17" s="16">
        <f>(1-DU17)*DV17</f>
        <v>0</v>
      </c>
      <c r="DY17" s="16">
        <f>DU17*DV17</f>
        <v>0</v>
      </c>
      <c r="DZ17" s="11" t="s">
        <v>45</v>
      </c>
      <c r="EA17" s="10">
        <f>IF(DT17=1, (DZ17-$I17)/365.25*12, IF(DT17=0, $DL17, "ERROR"))</f>
        <v>91.728952772073924</v>
      </c>
      <c r="EB17" s="16">
        <v>0</v>
      </c>
      <c r="EC17" s="16">
        <v>0</v>
      </c>
      <c r="ED17" s="16">
        <f>1-((1-DQ17)*(1-DT17))</f>
        <v>0</v>
      </c>
      <c r="EE17" s="11" t="s">
        <v>45</v>
      </c>
      <c r="EF17" s="12" t="s">
        <v>357</v>
      </c>
      <c r="EG17" s="16" t="s">
        <v>45</v>
      </c>
      <c r="EH17" s="12" t="s">
        <v>45</v>
      </c>
      <c r="EI17" s="12">
        <v>0</v>
      </c>
      <c r="EJ17" s="16">
        <f>(1-DQ17)*DX17*(1-EI17)</f>
        <v>0</v>
      </c>
      <c r="EK17" s="12" t="s">
        <v>357</v>
      </c>
      <c r="EL17" s="10">
        <f>IF(EI17=1, (EK17-$I17)/365.25*12, IF(EI17=0, $DL17, "ERROR"))</f>
        <v>91.728952772073924</v>
      </c>
      <c r="EM17" s="12" t="s">
        <v>357</v>
      </c>
      <c r="EN17" s="1">
        <v>0</v>
      </c>
      <c r="EO17" s="1">
        <v>0</v>
      </c>
      <c r="EP17" s="1">
        <v>0</v>
      </c>
      <c r="EQ17" s="1">
        <v>0</v>
      </c>
      <c r="ER17" s="1">
        <v>0</v>
      </c>
      <c r="ES17" s="1">
        <v>0</v>
      </c>
      <c r="ET17" s="1">
        <v>0</v>
      </c>
      <c r="EU17" s="1">
        <v>0</v>
      </c>
      <c r="EV17" s="1">
        <v>0</v>
      </c>
      <c r="EW17" s="1">
        <f>1-((1-EP17)*(1-ET17)*(1-EU17)*(1-EV17))</f>
        <v>0</v>
      </c>
      <c r="EX17" s="16">
        <v>0</v>
      </c>
      <c r="EY17" s="7">
        <v>0</v>
      </c>
      <c r="EZ17" s="7">
        <v>0</v>
      </c>
      <c r="FA17" s="7">
        <v>0</v>
      </c>
      <c r="FB17" s="12" t="s">
        <v>357</v>
      </c>
      <c r="FC17" s="12">
        <v>0</v>
      </c>
      <c r="FD17" s="12">
        <v>1</v>
      </c>
      <c r="FE17" s="12"/>
      <c r="FF17" s="30" t="s">
        <v>45</v>
      </c>
      <c r="FG17" s="3">
        <f>IF(FC17=1, FF17, IF(FD17=1, 44348, DJ17))</f>
        <v>44348</v>
      </c>
      <c r="FH17" s="13">
        <f>(FG17-I17)/365.25*12</f>
        <v>95.244353182751539</v>
      </c>
      <c r="FI17" s="13"/>
      <c r="FJ17" s="14">
        <f>IF(OR(DM17,FC17), 1, 0)</f>
        <v>0</v>
      </c>
      <c r="FK17" s="11">
        <f>IF(DM17=1,IF(FC17=1,MIN(DO17,FF17),DO17),IF(FC17=1,FF17,DJ17))</f>
        <v>44241</v>
      </c>
      <c r="FL17" s="13">
        <f>(FK17-$I17)/365.25*12</f>
        <v>91.728952772073924</v>
      </c>
      <c r="FM17" s="14">
        <f>IF(OR(ED17,FC17), 1, 0)</f>
        <v>0</v>
      </c>
      <c r="FN17" s="11">
        <f>IF(ED17=1,IF(FC17=1,MIN(EE17,FF17),EE17),IF(FC17=1,FF17,DJ17))</f>
        <v>44241</v>
      </c>
      <c r="FO17" s="13">
        <f>(FN17-$I17)/365.25*12</f>
        <v>91.728952772073924</v>
      </c>
      <c r="FP17" s="14">
        <f>IF(OR(EI17,FC17), 1, 0)</f>
        <v>0</v>
      </c>
      <c r="FQ17" s="11">
        <f>IF(EI17=1,IF(FC17=1,MIN(EK17,FF17),EK17),IF(FC17=1,FF17,DJ17))</f>
        <v>44241</v>
      </c>
      <c r="FR17" s="13">
        <f>(FQ17-$I17)/365.25*12</f>
        <v>91.728952772073924</v>
      </c>
      <c r="FS17" s="12"/>
      <c r="FT17" s="12"/>
      <c r="FU17" s="12">
        <v>1</v>
      </c>
      <c r="FV17" s="12">
        <v>1</v>
      </c>
      <c r="FW17" s="12">
        <v>0</v>
      </c>
      <c r="FX17" s="12">
        <v>0</v>
      </c>
      <c r="FY17" s="12" t="s">
        <v>2189</v>
      </c>
      <c r="FZ17" s="12"/>
    </row>
    <row r="18" spans="1:182" ht="12.75" hidden="1" customHeight="1">
      <c r="A18" s="1" t="s">
        <v>2188</v>
      </c>
      <c r="B18" s="12" t="s">
        <v>2187</v>
      </c>
      <c r="C18" s="12">
        <v>44529361</v>
      </c>
      <c r="D18" s="12">
        <v>0</v>
      </c>
      <c r="E18" s="12">
        <v>0</v>
      </c>
      <c r="F18" s="12">
        <v>0</v>
      </c>
      <c r="G18" s="12">
        <v>1</v>
      </c>
      <c r="H18" s="21"/>
      <c r="I18" s="11">
        <v>41463</v>
      </c>
      <c r="J18" s="11">
        <v>41432</v>
      </c>
      <c r="K18" s="11">
        <v>19777</v>
      </c>
      <c r="L18" s="20">
        <f>(DAYS360(K18,I18))/365</f>
        <v>58.564383561643837</v>
      </c>
      <c r="M18" s="12" t="s">
        <v>370</v>
      </c>
      <c r="N18" s="12">
        <v>1</v>
      </c>
      <c r="O18" s="12">
        <v>0</v>
      </c>
      <c r="P18" s="12" t="s">
        <v>423</v>
      </c>
      <c r="Q18" s="12">
        <v>1</v>
      </c>
      <c r="R18" s="12" t="s">
        <v>466</v>
      </c>
      <c r="S18" s="12" t="s">
        <v>1659</v>
      </c>
      <c r="T18" s="12" t="s">
        <v>368</v>
      </c>
      <c r="U18" s="12">
        <v>0</v>
      </c>
      <c r="V18" s="12">
        <v>0</v>
      </c>
      <c r="W18" s="12">
        <v>1</v>
      </c>
      <c r="X18" s="12" t="s">
        <v>2186</v>
      </c>
      <c r="Y18" s="12">
        <v>3</v>
      </c>
      <c r="Z18" s="12">
        <v>2</v>
      </c>
      <c r="AA18" s="12" t="s">
        <v>366</v>
      </c>
      <c r="AB18" s="12" t="s">
        <v>716</v>
      </c>
      <c r="AC18" s="12">
        <v>3</v>
      </c>
      <c r="AD18" s="12" t="s">
        <v>2185</v>
      </c>
      <c r="AE18" s="12"/>
      <c r="AF18" s="12">
        <v>0</v>
      </c>
      <c r="AG18" s="12">
        <v>0</v>
      </c>
      <c r="AH18" s="12">
        <v>0</v>
      </c>
      <c r="AI18" s="11">
        <v>41463</v>
      </c>
      <c r="AJ18" s="11">
        <v>41500</v>
      </c>
      <c r="AK18" s="19" t="s">
        <v>2184</v>
      </c>
      <c r="AL18" s="19" t="s">
        <v>357</v>
      </c>
      <c r="AM18" s="12">
        <v>1</v>
      </c>
      <c r="AN18" s="12">
        <v>1</v>
      </c>
      <c r="AO18" s="12">
        <v>0</v>
      </c>
      <c r="AP18" s="12">
        <v>0</v>
      </c>
      <c r="AQ18" s="12">
        <v>0</v>
      </c>
      <c r="AR18" s="12">
        <v>0</v>
      </c>
      <c r="AS18" s="12">
        <f>IF(AND(AM18=0,AU18&lt;=2), 1, 0)</f>
        <v>0</v>
      </c>
      <c r="AT18" s="12">
        <v>0</v>
      </c>
      <c r="AU18" s="12">
        <v>4.5</v>
      </c>
      <c r="AV18" s="19" t="s">
        <v>362</v>
      </c>
      <c r="AW18" s="19"/>
      <c r="AX18" s="12">
        <v>1</v>
      </c>
      <c r="AY18" s="19" t="s">
        <v>357</v>
      </c>
      <c r="AZ18" s="12">
        <v>1</v>
      </c>
      <c r="BA18" s="12">
        <v>7.5</v>
      </c>
      <c r="BB18" s="12">
        <v>320.7</v>
      </c>
      <c r="BC18" s="17"/>
      <c r="BD18" s="17"/>
      <c r="BE18" s="12">
        <v>728.8</v>
      </c>
      <c r="BF18" s="12" t="s">
        <v>2183</v>
      </c>
      <c r="BG18" s="12" t="s">
        <v>360</v>
      </c>
      <c r="BH18" s="12">
        <v>45</v>
      </c>
      <c r="BI18" s="12">
        <v>5.4</v>
      </c>
      <c r="BJ18" s="12">
        <v>1</v>
      </c>
      <c r="BK18" s="12">
        <f>BH18+BI18</f>
        <v>50.4</v>
      </c>
      <c r="BL18" s="12">
        <v>28</v>
      </c>
      <c r="BM18" s="12">
        <v>1.8</v>
      </c>
      <c r="BN18" s="12" t="s">
        <v>359</v>
      </c>
      <c r="BO18" s="12">
        <v>0</v>
      </c>
      <c r="BP18" s="12">
        <v>1</v>
      </c>
      <c r="BQ18" s="12">
        <v>1</v>
      </c>
      <c r="BR18" s="11">
        <v>41463</v>
      </c>
      <c r="BS18" s="12" t="s">
        <v>1560</v>
      </c>
      <c r="BT18" s="12" t="s">
        <v>1559</v>
      </c>
      <c r="BU18" s="12">
        <v>5</v>
      </c>
      <c r="BV18" s="12">
        <v>1</v>
      </c>
      <c r="BW18" s="12">
        <v>6.08</v>
      </c>
      <c r="BX18" s="12">
        <v>0.54800000000000004</v>
      </c>
      <c r="BY18" s="12">
        <v>0.34</v>
      </c>
      <c r="BZ18" s="12">
        <v>12.6</v>
      </c>
      <c r="CA18" s="12">
        <v>237</v>
      </c>
      <c r="CB18" s="12">
        <v>1.76</v>
      </c>
      <c r="CC18" s="12">
        <v>20.43</v>
      </c>
      <c r="CD18" s="12"/>
      <c r="CE18" s="12">
        <v>1</v>
      </c>
      <c r="CF18" s="11">
        <v>41554</v>
      </c>
      <c r="CG18" s="7">
        <f>CF18-AJ18</f>
        <v>54</v>
      </c>
      <c r="CH18" s="17" t="s">
        <v>461</v>
      </c>
      <c r="CI18" s="17" t="s">
        <v>460</v>
      </c>
      <c r="CJ18" s="17" t="s">
        <v>515</v>
      </c>
      <c r="CK18" s="12" t="s">
        <v>1720</v>
      </c>
      <c r="CL18" s="12" t="s">
        <v>1584</v>
      </c>
      <c r="CM18" s="12">
        <v>0</v>
      </c>
      <c r="CN18" s="12"/>
      <c r="CO18" s="17" t="s">
        <v>1600</v>
      </c>
      <c r="CP18" s="17"/>
      <c r="CQ18" s="17" t="s">
        <v>795</v>
      </c>
      <c r="CR18" s="17">
        <v>0.4</v>
      </c>
      <c r="CS18" s="12" t="s">
        <v>1581</v>
      </c>
      <c r="CT18" s="12" t="s">
        <v>511</v>
      </c>
      <c r="CU18" s="12" t="s">
        <v>472</v>
      </c>
      <c r="CV18" s="17">
        <v>0</v>
      </c>
      <c r="CW18" s="12">
        <v>7.7</v>
      </c>
      <c r="CX18" s="12">
        <v>7.4</v>
      </c>
      <c r="CY18" s="12">
        <v>0.2</v>
      </c>
      <c r="CZ18" s="12">
        <v>0</v>
      </c>
      <c r="DA18" s="12">
        <v>49</v>
      </c>
      <c r="DB18" s="13">
        <f>CZ18/DA18*100</f>
        <v>0</v>
      </c>
      <c r="DC18" s="12">
        <v>0</v>
      </c>
      <c r="DD18" s="12">
        <v>0</v>
      </c>
      <c r="DE18" s="12">
        <v>0</v>
      </c>
      <c r="DF18" s="12">
        <v>0</v>
      </c>
      <c r="DG18" s="12" t="s">
        <v>2182</v>
      </c>
      <c r="DH18" s="16">
        <v>0</v>
      </c>
      <c r="DI18" s="16">
        <v>0</v>
      </c>
      <c r="DJ18" s="11">
        <v>41768</v>
      </c>
      <c r="DK18" s="11"/>
      <c r="DL18" s="12">
        <f>(DJ18-I18)/365.25*12</f>
        <v>10.020533880903491</v>
      </c>
      <c r="DM18" s="12">
        <v>1</v>
      </c>
      <c r="DN18" s="12" t="s">
        <v>2181</v>
      </c>
      <c r="DO18" s="11">
        <v>41768</v>
      </c>
      <c r="DP18" s="19"/>
      <c r="DQ18" s="16">
        <v>0</v>
      </c>
      <c r="DR18" s="11" t="s">
        <v>45</v>
      </c>
      <c r="DS18" s="10">
        <f>IF(DQ18=1, (DR18-$I18)/365.25*12, IF(DQ18=0, $DL18, "ERROR"))</f>
        <v>10.020533880903491</v>
      </c>
      <c r="DT18" s="16">
        <v>0</v>
      </c>
      <c r="DU18" s="16">
        <v>0</v>
      </c>
      <c r="DV18" s="16">
        <v>0</v>
      </c>
      <c r="DW18" s="16">
        <f>DU18*(1-DV18)</f>
        <v>0</v>
      </c>
      <c r="DX18" s="16">
        <f>(1-DU18)*DV18</f>
        <v>0</v>
      </c>
      <c r="DY18" s="16">
        <f>DU18*DV18</f>
        <v>0</v>
      </c>
      <c r="DZ18" s="11" t="s">
        <v>45</v>
      </c>
      <c r="EA18" s="10">
        <f>IF(DT18=1, (DZ18-$I18)/365.25*12, IF(DT18=0, $DL18, "ERROR"))</f>
        <v>10.020533880903491</v>
      </c>
      <c r="EB18" s="16">
        <v>0</v>
      </c>
      <c r="EC18" s="16">
        <v>0</v>
      </c>
      <c r="ED18" s="16">
        <f>1-((1-DQ18)*(1-DT18))</f>
        <v>0</v>
      </c>
      <c r="EE18" s="11" t="s">
        <v>45</v>
      </c>
      <c r="EF18" s="11" t="s">
        <v>45</v>
      </c>
      <c r="EG18" s="16" t="s">
        <v>45</v>
      </c>
      <c r="EH18" s="11" t="s">
        <v>45</v>
      </c>
      <c r="EI18" s="12">
        <v>1</v>
      </c>
      <c r="EJ18" s="16">
        <f>(1-DQ18)*DX18*(1-EI18)</f>
        <v>0</v>
      </c>
      <c r="EK18" s="11">
        <v>41768</v>
      </c>
      <c r="EL18" s="10">
        <f>IF(EI18=1, (EK18-$I18)/365.25*12, IF(EI18=0, $DL18, "ERROR"))</f>
        <v>10.020533880903491</v>
      </c>
      <c r="EM18" s="12" t="s">
        <v>2180</v>
      </c>
      <c r="EN18" s="16">
        <v>0</v>
      </c>
      <c r="EO18" s="16">
        <v>1</v>
      </c>
      <c r="EP18" s="16">
        <v>1</v>
      </c>
      <c r="EQ18" s="16">
        <v>1</v>
      </c>
      <c r="ER18" s="16">
        <v>0</v>
      </c>
      <c r="ES18" s="16">
        <v>1</v>
      </c>
      <c r="ET18" s="16">
        <v>0</v>
      </c>
      <c r="EU18" s="16">
        <v>0</v>
      </c>
      <c r="EV18" s="16">
        <v>1</v>
      </c>
      <c r="EW18" s="1">
        <f>1-((1-EP18)*(1-ET18)*(1-EU18)*(1-EV18))</f>
        <v>1</v>
      </c>
      <c r="EX18" s="16">
        <v>0</v>
      </c>
      <c r="EY18" s="16">
        <v>0</v>
      </c>
      <c r="EZ18" s="16">
        <v>1</v>
      </c>
      <c r="FA18" s="16">
        <v>0</v>
      </c>
      <c r="FB18" s="11" t="s">
        <v>45</v>
      </c>
      <c r="FC18" s="12">
        <v>1</v>
      </c>
      <c r="FD18" s="12">
        <v>1</v>
      </c>
      <c r="FE18" s="11"/>
      <c r="FF18" s="18">
        <v>41814</v>
      </c>
      <c r="FG18" s="3">
        <f>IF(FC18=1, FF18, IF(FD18=1, 44348, DJ18))</f>
        <v>41814</v>
      </c>
      <c r="FH18" s="13">
        <f>(FG18-I18)/365.25*12</f>
        <v>11.531827515400412</v>
      </c>
      <c r="FI18" s="13"/>
      <c r="FJ18" s="14">
        <f>IF(OR(DM18,FC18), 1, 0)</f>
        <v>1</v>
      </c>
      <c r="FK18" s="11">
        <f>IF(DM18=1,IF(FC18=1,MIN(DO18,FF18),DO18),IF(FC18=1,FF18,DJ18))</f>
        <v>41768</v>
      </c>
      <c r="FL18" s="13">
        <f>(FK18-$I18)/365.25*12</f>
        <v>10.020533880903491</v>
      </c>
      <c r="FM18" s="14">
        <f>IF(OR(ED18,FC18), 1, 0)</f>
        <v>1</v>
      </c>
      <c r="FN18" s="11">
        <f>IF(ED18=1,IF(FC18=1,MIN(EE18,FF18),EE18),IF(FC18=1,FF18,DJ18))</f>
        <v>41814</v>
      </c>
      <c r="FO18" s="13">
        <f>(FN18-$I18)/365.25*12</f>
        <v>11.531827515400412</v>
      </c>
      <c r="FP18" s="14">
        <f>IF(OR(EI18,FC18), 1, 0)</f>
        <v>1</v>
      </c>
      <c r="FQ18" s="11">
        <f>IF(EI18=1,IF(FC18=1,MIN(EK18,FF18),EK18),IF(FC18=1,FF18,DJ18))</f>
        <v>41768</v>
      </c>
      <c r="FR18" s="13">
        <f>(FQ18-$I18)/365.25*12</f>
        <v>10.020533880903491</v>
      </c>
      <c r="FS18" s="12"/>
      <c r="FT18" s="12"/>
      <c r="FU18" s="12">
        <v>0</v>
      </c>
      <c r="FV18" s="12">
        <v>0</v>
      </c>
      <c r="FW18" s="12">
        <v>0</v>
      </c>
      <c r="FX18" s="12">
        <v>0</v>
      </c>
      <c r="FY18" s="12" t="s">
        <v>2179</v>
      </c>
      <c r="FZ18" s="12"/>
    </row>
    <row r="19" spans="1:182" ht="12.75" hidden="1" customHeight="1">
      <c r="A19" s="1" t="s">
        <v>2178</v>
      </c>
      <c r="B19" s="12" t="s">
        <v>2177</v>
      </c>
      <c r="C19" s="12">
        <v>22532336</v>
      </c>
      <c r="D19" s="12">
        <v>0</v>
      </c>
      <c r="E19" s="12">
        <v>0</v>
      </c>
      <c r="F19" s="12">
        <v>0</v>
      </c>
      <c r="G19" s="12">
        <v>1</v>
      </c>
      <c r="H19" s="21"/>
      <c r="I19" s="11">
        <v>41466</v>
      </c>
      <c r="J19" s="11">
        <v>41432</v>
      </c>
      <c r="K19" s="11">
        <v>15005</v>
      </c>
      <c r="L19" s="20">
        <f>(DAYS360(K19,I19))/365</f>
        <v>71.457534246575349</v>
      </c>
      <c r="M19" s="12" t="s">
        <v>370</v>
      </c>
      <c r="N19" s="12">
        <v>1</v>
      </c>
      <c r="O19" s="12">
        <v>0</v>
      </c>
      <c r="P19" s="12" t="s">
        <v>423</v>
      </c>
      <c r="Q19" s="12">
        <v>1</v>
      </c>
      <c r="R19" s="12" t="s">
        <v>466</v>
      </c>
      <c r="S19" s="12" t="s">
        <v>2176</v>
      </c>
      <c r="T19" s="12" t="s">
        <v>368</v>
      </c>
      <c r="U19" s="12">
        <v>0</v>
      </c>
      <c r="V19" s="12">
        <v>0</v>
      </c>
      <c r="W19" s="12">
        <v>1</v>
      </c>
      <c r="X19" s="12" t="s">
        <v>1723</v>
      </c>
      <c r="Y19" s="12">
        <v>3</v>
      </c>
      <c r="Z19" s="12">
        <v>1</v>
      </c>
      <c r="AA19" s="12" t="s">
        <v>366</v>
      </c>
      <c r="AB19" s="12" t="s">
        <v>365</v>
      </c>
      <c r="AC19" s="12">
        <v>3</v>
      </c>
      <c r="AD19" s="12" t="s">
        <v>364</v>
      </c>
      <c r="AE19" s="12" t="s">
        <v>479</v>
      </c>
      <c r="AF19" s="12">
        <v>0</v>
      </c>
      <c r="AG19" s="12">
        <v>0</v>
      </c>
      <c r="AH19" s="12">
        <v>0</v>
      </c>
      <c r="AI19" s="11">
        <v>41466</v>
      </c>
      <c r="AJ19" s="11">
        <v>41506</v>
      </c>
      <c r="AK19" s="19" t="s">
        <v>2175</v>
      </c>
      <c r="AL19" s="19" t="s">
        <v>357</v>
      </c>
      <c r="AM19" s="12">
        <v>0</v>
      </c>
      <c r="AN19" s="12">
        <v>0</v>
      </c>
      <c r="AO19" s="12">
        <v>0</v>
      </c>
      <c r="AP19" s="12">
        <v>0</v>
      </c>
      <c r="AQ19" s="12">
        <v>1</v>
      </c>
      <c r="AR19" s="12">
        <v>0</v>
      </c>
      <c r="AS19" s="12">
        <f>IF(AND(AM19=0,AU19&lt;=2), 1, 0)</f>
        <v>0</v>
      </c>
      <c r="AT19" s="12">
        <v>0</v>
      </c>
      <c r="AU19" s="12">
        <v>4</v>
      </c>
      <c r="AV19" s="12">
        <v>0.5</v>
      </c>
      <c r="AW19" s="12"/>
      <c r="AX19" s="12">
        <v>2</v>
      </c>
      <c r="AY19" s="19" t="s">
        <v>357</v>
      </c>
      <c r="AZ19" s="12">
        <v>1</v>
      </c>
      <c r="BA19" s="12">
        <f>6.5-2+0.5</f>
        <v>5</v>
      </c>
      <c r="BB19" s="12">
        <v>91.6</v>
      </c>
      <c r="BC19" s="12">
        <v>4</v>
      </c>
      <c r="BD19" s="12">
        <v>2</v>
      </c>
      <c r="BE19" s="12">
        <v>322</v>
      </c>
      <c r="BF19" s="12" t="s">
        <v>2174</v>
      </c>
      <c r="BG19" s="12" t="s">
        <v>360</v>
      </c>
      <c r="BH19" s="12">
        <v>45</v>
      </c>
      <c r="BI19" s="12">
        <v>5.4</v>
      </c>
      <c r="BJ19" s="12">
        <v>1</v>
      </c>
      <c r="BK19" s="12">
        <f>BH19+BI19</f>
        <v>50.4</v>
      </c>
      <c r="BL19" s="12">
        <v>28</v>
      </c>
      <c r="BM19" s="12">
        <v>1.8</v>
      </c>
      <c r="BN19" s="12" t="s">
        <v>359</v>
      </c>
      <c r="BO19" s="12">
        <v>0</v>
      </c>
      <c r="BP19" s="12">
        <v>1</v>
      </c>
      <c r="BQ19" s="12">
        <v>1</v>
      </c>
      <c r="BR19" s="11">
        <v>41466</v>
      </c>
      <c r="BS19" s="12" t="s">
        <v>91</v>
      </c>
      <c r="BT19" s="12" t="s">
        <v>90</v>
      </c>
      <c r="BU19" s="12">
        <v>2</v>
      </c>
      <c r="BV19" s="12">
        <v>1</v>
      </c>
      <c r="BW19" s="12">
        <v>4.5999999999999996</v>
      </c>
      <c r="BX19" s="12">
        <v>0.65800000000000003</v>
      </c>
      <c r="BY19" s="12">
        <v>0.22900000000000001</v>
      </c>
      <c r="BZ19" s="12">
        <v>13.4</v>
      </c>
      <c r="CA19" s="12">
        <v>162</v>
      </c>
      <c r="CB19" s="12">
        <v>1.68</v>
      </c>
      <c r="CC19" s="12"/>
      <c r="CD19" s="12">
        <v>4.08</v>
      </c>
      <c r="CE19" s="12">
        <v>1</v>
      </c>
      <c r="CF19" s="11">
        <v>41557</v>
      </c>
      <c r="CG19" s="7">
        <f>CF19-AJ19</f>
        <v>51</v>
      </c>
      <c r="CH19" s="17" t="s">
        <v>461</v>
      </c>
      <c r="CI19" s="17" t="s">
        <v>460</v>
      </c>
      <c r="CJ19" s="17" t="s">
        <v>515</v>
      </c>
      <c r="CK19" s="12" t="s">
        <v>663</v>
      </c>
      <c r="CL19" s="12" t="s">
        <v>45</v>
      </c>
      <c r="CM19" s="12">
        <v>1</v>
      </c>
      <c r="CN19" s="12"/>
      <c r="CO19" s="17" t="s">
        <v>1558</v>
      </c>
      <c r="CP19" s="17"/>
      <c r="CQ19" s="17" t="s">
        <v>357</v>
      </c>
      <c r="CR19" s="17">
        <v>0</v>
      </c>
      <c r="CS19" s="12" t="s">
        <v>357</v>
      </c>
      <c r="CT19" s="12" t="s">
        <v>357</v>
      </c>
      <c r="CU19" s="12" t="s">
        <v>357</v>
      </c>
      <c r="CV19" s="17">
        <v>0</v>
      </c>
      <c r="CW19" s="12" t="s">
        <v>357</v>
      </c>
      <c r="CX19" s="12" t="s">
        <v>357</v>
      </c>
      <c r="CY19" s="12" t="s">
        <v>357</v>
      </c>
      <c r="CZ19" s="12">
        <v>0</v>
      </c>
      <c r="DA19" s="12">
        <v>38</v>
      </c>
      <c r="DB19" s="13">
        <f>CZ19/DA19*100</f>
        <v>0</v>
      </c>
      <c r="DC19" s="12" t="s">
        <v>357</v>
      </c>
      <c r="DD19" s="12" t="s">
        <v>357</v>
      </c>
      <c r="DE19" s="12" t="s">
        <v>357</v>
      </c>
      <c r="DF19" s="12" t="s">
        <v>357</v>
      </c>
      <c r="DG19" s="12" t="s">
        <v>2173</v>
      </c>
      <c r="DH19" s="16">
        <v>0</v>
      </c>
      <c r="DI19" s="16">
        <v>0</v>
      </c>
      <c r="DJ19" s="11">
        <v>42341</v>
      </c>
      <c r="DK19" s="11" t="s">
        <v>2172</v>
      </c>
      <c r="DL19" s="12">
        <f>(DJ19-I19)/365.25*12</f>
        <v>28.747433264887064</v>
      </c>
      <c r="DM19" s="12">
        <v>1</v>
      </c>
      <c r="DN19" s="12" t="s">
        <v>2171</v>
      </c>
      <c r="DO19" s="11">
        <v>41913</v>
      </c>
      <c r="DP19" s="11" t="s">
        <v>508</v>
      </c>
      <c r="DQ19" s="16">
        <v>0</v>
      </c>
      <c r="DR19" s="11" t="s">
        <v>45</v>
      </c>
      <c r="DS19" s="10">
        <f>IF(DQ19=1, (DR19-$I19)/365.25*12, IF(DQ19=0, $DL19, "ERROR"))</f>
        <v>28.747433264887064</v>
      </c>
      <c r="DT19" s="16">
        <v>0</v>
      </c>
      <c r="DU19" s="16">
        <v>0</v>
      </c>
      <c r="DV19" s="16">
        <v>0</v>
      </c>
      <c r="DW19" s="16">
        <f>DU19*(1-DV19)</f>
        <v>0</v>
      </c>
      <c r="DX19" s="16">
        <f>(1-DU19)*DV19</f>
        <v>0</v>
      </c>
      <c r="DY19" s="16">
        <f>DU19*DV19</f>
        <v>0</v>
      </c>
      <c r="DZ19" s="11" t="s">
        <v>45</v>
      </c>
      <c r="EA19" s="10">
        <f>IF(DT19=1, (DZ19-$I19)/365.25*12, IF(DT19=0, $DL19, "ERROR"))</f>
        <v>28.747433264887064</v>
      </c>
      <c r="EB19" s="16">
        <v>0</v>
      </c>
      <c r="EC19" s="16">
        <v>0</v>
      </c>
      <c r="ED19" s="16">
        <f>1-((1-DQ19)*(1-DT19))</f>
        <v>0</v>
      </c>
      <c r="EE19" s="11" t="s">
        <v>45</v>
      </c>
      <c r="EF19" s="11" t="s">
        <v>45</v>
      </c>
      <c r="EG19" s="16" t="s">
        <v>45</v>
      </c>
      <c r="EH19" s="11" t="s">
        <v>45</v>
      </c>
      <c r="EI19" s="12">
        <v>1</v>
      </c>
      <c r="EJ19" s="16">
        <f>(1-DQ19)*DX19*(1-EI19)</f>
        <v>0</v>
      </c>
      <c r="EK19" s="11">
        <v>41913</v>
      </c>
      <c r="EL19" s="10">
        <f>IF(EI19=1, (EK19-$I19)/365.25*12, IF(EI19=0, $DL19, "ERROR"))</f>
        <v>14.68583162217659</v>
      </c>
      <c r="EM19" s="12" t="s">
        <v>2171</v>
      </c>
      <c r="EN19" s="16">
        <v>1</v>
      </c>
      <c r="EO19" s="16">
        <v>0</v>
      </c>
      <c r="EP19" s="16">
        <v>1</v>
      </c>
      <c r="EQ19" s="16">
        <v>1</v>
      </c>
      <c r="ER19" s="16">
        <v>0</v>
      </c>
      <c r="ES19" s="16">
        <v>0</v>
      </c>
      <c r="ET19" s="16">
        <v>0</v>
      </c>
      <c r="EU19" s="16">
        <v>0</v>
      </c>
      <c r="EV19" s="16">
        <v>0</v>
      </c>
      <c r="EW19" s="1">
        <f>1-((1-EP19)*(1-ET19)*(1-EU19)*(1-EV19))</f>
        <v>1</v>
      </c>
      <c r="EX19" s="16">
        <v>0</v>
      </c>
      <c r="EY19" s="7">
        <v>0</v>
      </c>
      <c r="EZ19" s="7">
        <v>0</v>
      </c>
      <c r="FA19" s="7">
        <v>0</v>
      </c>
      <c r="FB19" s="11" t="s">
        <v>2170</v>
      </c>
      <c r="FC19" s="12">
        <v>1</v>
      </c>
      <c r="FD19" s="12">
        <v>1</v>
      </c>
      <c r="FE19" s="11"/>
      <c r="FF19" s="18">
        <v>42375</v>
      </c>
      <c r="FG19" s="3">
        <f>IF(FC19=1, FF19, IF(FD19=1, 44348, DJ19))</f>
        <v>42375</v>
      </c>
      <c r="FH19" s="13">
        <f>(FG19-I19)/365.25*12</f>
        <v>29.864476386036959</v>
      </c>
      <c r="FI19" s="13"/>
      <c r="FJ19" s="14">
        <f>IF(OR(DM19,FC19), 1, 0)</f>
        <v>1</v>
      </c>
      <c r="FK19" s="11">
        <f>IF(DM19=1,IF(FC19=1,MIN(DO19,FF19),DO19),IF(FC19=1,FF19,DJ19))</f>
        <v>41913</v>
      </c>
      <c r="FL19" s="13">
        <f>(FK19-$I19)/365.25*12</f>
        <v>14.68583162217659</v>
      </c>
      <c r="FM19" s="14">
        <f>IF(OR(ED19,FC19), 1, 0)</f>
        <v>1</v>
      </c>
      <c r="FN19" s="11">
        <f>IF(ED19=1,IF(FC19=1,MIN(EE19,FF19),EE19),IF(FC19=1,FF19,DJ19))</f>
        <v>42375</v>
      </c>
      <c r="FO19" s="13">
        <f>(FN19-$I19)/365.25*12</f>
        <v>29.864476386036959</v>
      </c>
      <c r="FP19" s="14">
        <f>IF(OR(EI19,FC19), 1, 0)</f>
        <v>1</v>
      </c>
      <c r="FQ19" s="11">
        <f>IF(EI19=1,IF(FC19=1,MIN(EK19,FF19),EK19),IF(FC19=1,FF19,DJ19))</f>
        <v>41913</v>
      </c>
      <c r="FR19" s="13">
        <f>(FQ19-$I19)/365.25*12</f>
        <v>14.68583162217659</v>
      </c>
      <c r="FS19" s="12"/>
      <c r="FT19" s="12"/>
      <c r="FU19" s="12">
        <v>0</v>
      </c>
      <c r="FV19" s="12">
        <v>0</v>
      </c>
      <c r="FW19" s="12">
        <v>0</v>
      </c>
      <c r="FX19" s="12">
        <v>0</v>
      </c>
      <c r="FY19" s="12" t="s">
        <v>2169</v>
      </c>
      <c r="FZ19" s="12"/>
    </row>
    <row r="20" spans="1:182" ht="12.75" hidden="1" customHeight="1">
      <c r="A20" s="1" t="s">
        <v>2168</v>
      </c>
      <c r="B20" s="12" t="s">
        <v>2167</v>
      </c>
      <c r="C20" s="12">
        <v>44670029</v>
      </c>
      <c r="D20" s="12">
        <v>0</v>
      </c>
      <c r="E20" s="12">
        <v>0</v>
      </c>
      <c r="F20" s="12">
        <v>0</v>
      </c>
      <c r="G20" s="12">
        <v>1</v>
      </c>
      <c r="H20" s="21"/>
      <c r="I20" s="11">
        <v>41512</v>
      </c>
      <c r="J20" s="11">
        <v>41487</v>
      </c>
      <c r="K20" s="11">
        <v>18721</v>
      </c>
      <c r="L20" s="20">
        <f>(DAYS360(K20,I20))/365</f>
        <v>61.542465753424658</v>
      </c>
      <c r="M20" s="12" t="s">
        <v>370</v>
      </c>
      <c r="N20" s="12">
        <v>0</v>
      </c>
      <c r="O20" s="12">
        <v>0</v>
      </c>
      <c r="P20" s="12" t="s">
        <v>423</v>
      </c>
      <c r="Q20" s="12">
        <v>1</v>
      </c>
      <c r="R20" s="12" t="s">
        <v>466</v>
      </c>
      <c r="S20" s="12">
        <v>24</v>
      </c>
      <c r="T20" s="12" t="s">
        <v>408</v>
      </c>
      <c r="U20" s="12">
        <v>1</v>
      </c>
      <c r="V20" s="12">
        <v>0</v>
      </c>
      <c r="W20" s="12">
        <v>0</v>
      </c>
      <c r="X20" s="12" t="s">
        <v>1723</v>
      </c>
      <c r="Y20" s="12">
        <v>3</v>
      </c>
      <c r="Z20" s="12">
        <v>1</v>
      </c>
      <c r="AA20" s="12" t="s">
        <v>96</v>
      </c>
      <c r="AB20" s="12" t="s">
        <v>365</v>
      </c>
      <c r="AC20" s="12">
        <v>5</v>
      </c>
      <c r="AD20" s="12" t="s">
        <v>2166</v>
      </c>
      <c r="AE20" s="12"/>
      <c r="AF20" s="12">
        <v>1</v>
      </c>
      <c r="AG20" s="12">
        <v>1</v>
      </c>
      <c r="AH20" s="12">
        <v>1</v>
      </c>
      <c r="AI20" s="11">
        <v>41512</v>
      </c>
      <c r="AJ20" s="11">
        <v>41555</v>
      </c>
      <c r="AK20" s="19" t="s">
        <v>2165</v>
      </c>
      <c r="AL20" s="19" t="s">
        <v>392</v>
      </c>
      <c r="AM20" s="12">
        <v>0</v>
      </c>
      <c r="AN20" s="12">
        <v>0</v>
      </c>
      <c r="AO20" s="12">
        <v>0</v>
      </c>
      <c r="AP20" s="12">
        <v>0</v>
      </c>
      <c r="AQ20" s="12">
        <v>0</v>
      </c>
      <c r="AR20" s="12">
        <v>0</v>
      </c>
      <c r="AS20" s="12">
        <f>IF(AND(AM20=0,AU20&lt;=2), 1, 0)</f>
        <v>1</v>
      </c>
      <c r="AT20" s="12">
        <v>1</v>
      </c>
      <c r="AU20" s="12">
        <v>2</v>
      </c>
      <c r="AV20" s="12">
        <v>0.5</v>
      </c>
      <c r="AW20" s="12">
        <v>0.5</v>
      </c>
      <c r="AX20" s="12">
        <v>1</v>
      </c>
      <c r="AY20" s="19" t="s">
        <v>357</v>
      </c>
      <c r="AZ20" s="12">
        <v>1</v>
      </c>
      <c r="BA20" s="12">
        <v>5.5</v>
      </c>
      <c r="BB20" s="12">
        <v>197</v>
      </c>
      <c r="BC20" s="12">
        <v>3.5</v>
      </c>
      <c r="BD20" s="12">
        <v>2</v>
      </c>
      <c r="BE20" s="12">
        <v>473.8</v>
      </c>
      <c r="BF20" s="12" t="s">
        <v>1551</v>
      </c>
      <c r="BG20" s="12" t="s">
        <v>360</v>
      </c>
      <c r="BH20" s="12">
        <v>45</v>
      </c>
      <c r="BI20" s="12">
        <v>5.4</v>
      </c>
      <c r="BJ20" s="12">
        <v>1</v>
      </c>
      <c r="BK20" s="12">
        <f>BH20+BI20</f>
        <v>50.4</v>
      </c>
      <c r="BL20" s="12">
        <v>28</v>
      </c>
      <c r="BM20" s="12">
        <v>1.8</v>
      </c>
      <c r="BN20" s="12" t="s">
        <v>359</v>
      </c>
      <c r="BO20" s="12">
        <v>0</v>
      </c>
      <c r="BP20" s="12">
        <v>1</v>
      </c>
      <c r="BQ20" s="12">
        <v>1</v>
      </c>
      <c r="BR20" s="11">
        <v>41512</v>
      </c>
      <c r="BS20" s="12" t="s">
        <v>91</v>
      </c>
      <c r="BT20" s="12" t="s">
        <v>90</v>
      </c>
      <c r="BU20" s="12">
        <v>2</v>
      </c>
      <c r="BV20" s="12">
        <v>1</v>
      </c>
      <c r="BW20" s="12">
        <v>6.6</v>
      </c>
      <c r="BX20" s="12">
        <v>0.67900000000000005</v>
      </c>
      <c r="BY20" s="12">
        <v>0.191</v>
      </c>
      <c r="BZ20" s="12">
        <v>15</v>
      </c>
      <c r="CA20" s="12">
        <v>170</v>
      </c>
      <c r="CB20" s="12">
        <v>1.57</v>
      </c>
      <c r="CC20" s="12">
        <v>18.2</v>
      </c>
      <c r="CD20" s="12">
        <v>8.8000000000000007</v>
      </c>
      <c r="CE20" s="12">
        <v>1</v>
      </c>
      <c r="CF20" s="11">
        <v>41599</v>
      </c>
      <c r="CG20" s="7">
        <f>CF20-AJ20</f>
        <v>44</v>
      </c>
      <c r="CH20" s="12" t="s">
        <v>497</v>
      </c>
      <c r="CI20" s="12" t="s">
        <v>183</v>
      </c>
      <c r="CJ20" s="17" t="s">
        <v>182</v>
      </c>
      <c r="CK20" s="12" t="s">
        <v>2164</v>
      </c>
      <c r="CL20" s="12" t="s">
        <v>365</v>
      </c>
      <c r="CM20" s="12">
        <v>0</v>
      </c>
      <c r="CN20" s="12"/>
      <c r="CO20" s="12" t="s">
        <v>1600</v>
      </c>
      <c r="CP20" s="12"/>
      <c r="CQ20" s="17" t="s">
        <v>2163</v>
      </c>
      <c r="CR20" s="17">
        <v>3.2</v>
      </c>
      <c r="CS20" s="12" t="s">
        <v>1581</v>
      </c>
      <c r="CT20" s="12" t="s">
        <v>455</v>
      </c>
      <c r="CU20" s="12" t="s">
        <v>454</v>
      </c>
      <c r="CV20" s="17">
        <v>0</v>
      </c>
      <c r="CW20" s="12">
        <v>1</v>
      </c>
      <c r="CX20" s="12">
        <v>11.2</v>
      </c>
      <c r="CY20" s="12">
        <v>0.15</v>
      </c>
      <c r="CZ20" s="12">
        <v>1</v>
      </c>
      <c r="DA20" s="12">
        <v>72</v>
      </c>
      <c r="DB20" s="13">
        <f>CZ20/DA20*100</f>
        <v>1.3888888888888888</v>
      </c>
      <c r="DC20" s="12">
        <v>0</v>
      </c>
      <c r="DD20" s="12">
        <v>0</v>
      </c>
      <c r="DE20" s="12">
        <v>0</v>
      </c>
      <c r="DF20" s="12">
        <v>0</v>
      </c>
      <c r="DG20" s="12" t="s">
        <v>2162</v>
      </c>
      <c r="DH20" s="16">
        <v>0</v>
      </c>
      <c r="DI20" s="16">
        <v>0</v>
      </c>
      <c r="DJ20" s="11">
        <v>42291</v>
      </c>
      <c r="DK20" s="11" t="s">
        <v>75</v>
      </c>
      <c r="DL20" s="12">
        <f>(DJ20-I20)/365.25*12</f>
        <v>25.593429158110887</v>
      </c>
      <c r="DM20" s="12">
        <v>1</v>
      </c>
      <c r="DN20" s="12" t="s">
        <v>2161</v>
      </c>
      <c r="DO20" s="11">
        <v>41815</v>
      </c>
      <c r="DP20" s="19"/>
      <c r="DQ20" s="16">
        <v>0</v>
      </c>
      <c r="DR20" s="11" t="s">
        <v>45</v>
      </c>
      <c r="DS20" s="10">
        <f>IF(DQ20=1, (DR20-$I20)/365.25*12, IF(DQ20=0, $DL20, "ERROR"))</f>
        <v>25.593429158110887</v>
      </c>
      <c r="DT20" s="16">
        <v>0</v>
      </c>
      <c r="DU20" s="16">
        <v>0</v>
      </c>
      <c r="DV20" s="16">
        <v>0</v>
      </c>
      <c r="DW20" s="16">
        <f>DU20*(1-DV20)</f>
        <v>0</v>
      </c>
      <c r="DX20" s="16">
        <f>(1-DU20)*DV20</f>
        <v>0</v>
      </c>
      <c r="DY20" s="16">
        <f>DU20*DV20</f>
        <v>0</v>
      </c>
      <c r="DZ20" s="11" t="s">
        <v>45</v>
      </c>
      <c r="EA20" s="10">
        <f>IF(DT20=1, (DZ20-$I20)/365.25*12, IF(DT20=0, $DL20, "ERROR"))</f>
        <v>25.593429158110887</v>
      </c>
      <c r="EB20" s="16">
        <v>0</v>
      </c>
      <c r="EC20" s="16">
        <v>0</v>
      </c>
      <c r="ED20" s="16">
        <f>1-((1-DQ20)*(1-DT20))</f>
        <v>0</v>
      </c>
      <c r="EE20" s="11" t="s">
        <v>45</v>
      </c>
      <c r="EF20" s="11" t="s">
        <v>2160</v>
      </c>
      <c r="EG20" s="16" t="s">
        <v>45</v>
      </c>
      <c r="EH20" s="11" t="s">
        <v>45</v>
      </c>
      <c r="EI20" s="12">
        <v>1</v>
      </c>
      <c r="EJ20" s="16">
        <f>(1-DQ20)*DX20*(1-EI20)</f>
        <v>0</v>
      </c>
      <c r="EK20" s="11">
        <v>41815</v>
      </c>
      <c r="EL20" s="10">
        <f>IF(EI20=1, (EK20-$I20)/365.25*12, IF(EI20=0, $DL20, "ERROR"))</f>
        <v>9.9548254620123195</v>
      </c>
      <c r="EM20" s="11" t="s">
        <v>337</v>
      </c>
      <c r="EN20" s="16">
        <v>1</v>
      </c>
      <c r="EO20" s="16">
        <v>0</v>
      </c>
      <c r="EP20" s="16">
        <v>0</v>
      </c>
      <c r="EQ20" s="16">
        <v>0</v>
      </c>
      <c r="ER20" s="16">
        <v>0</v>
      </c>
      <c r="ES20" s="16">
        <v>0</v>
      </c>
      <c r="ET20" s="16">
        <v>0</v>
      </c>
      <c r="EU20" s="16">
        <v>0</v>
      </c>
      <c r="EV20" s="16">
        <v>0</v>
      </c>
      <c r="EW20" s="1">
        <f>1-((1-EP20)*(1-ET20)*(1-EU20)*(1-EV20))</f>
        <v>0</v>
      </c>
      <c r="EX20" s="16">
        <v>0</v>
      </c>
      <c r="EY20" s="7">
        <v>0</v>
      </c>
      <c r="EZ20" s="7">
        <v>0</v>
      </c>
      <c r="FA20" s="7">
        <v>0</v>
      </c>
      <c r="FB20" s="11" t="s">
        <v>45</v>
      </c>
      <c r="FC20" s="12">
        <v>0</v>
      </c>
      <c r="FD20" s="12">
        <v>0</v>
      </c>
      <c r="FE20" s="11"/>
      <c r="FF20" s="30" t="s">
        <v>45</v>
      </c>
      <c r="FG20" s="3">
        <f>IF(FC20=1, FF20, IF(FD20=1, 44348, DJ20))</f>
        <v>42291</v>
      </c>
      <c r="FH20" s="13">
        <f>(FG20-I20)/365.25*12</f>
        <v>25.593429158110887</v>
      </c>
      <c r="FI20" s="13"/>
      <c r="FJ20" s="14">
        <f>IF(OR(DM20,FC20), 1, 0)</f>
        <v>1</v>
      </c>
      <c r="FK20" s="11">
        <f>IF(DM20=1,IF(FC20=1,MIN(DO20,FF20),DO20),IF(FC20=1,FF20,DJ20))</f>
        <v>41815</v>
      </c>
      <c r="FL20" s="13">
        <f>(FK20-$I20)/365.25*12</f>
        <v>9.9548254620123195</v>
      </c>
      <c r="FM20" s="14">
        <f>IF(OR(ED20,FC20), 1, 0)</f>
        <v>0</v>
      </c>
      <c r="FN20" s="11">
        <f>IF(ED20=1,IF(FC20=1,MIN(EE20,FF20),EE20),IF(FC20=1,FF20,DJ20))</f>
        <v>42291</v>
      </c>
      <c r="FO20" s="13">
        <f>(FN20-$I20)/365.25*12</f>
        <v>25.593429158110887</v>
      </c>
      <c r="FP20" s="14">
        <f>IF(OR(EI20,FC20), 1, 0)</f>
        <v>1</v>
      </c>
      <c r="FQ20" s="11">
        <f>IF(EI20=1,IF(FC20=1,MIN(EK20,FF20),EK20),IF(FC20=1,FF20,DJ20))</f>
        <v>41815</v>
      </c>
      <c r="FR20" s="13">
        <f>(FQ20-$I20)/365.25*12</f>
        <v>9.9548254620123195</v>
      </c>
      <c r="FS20" s="12"/>
      <c r="FT20" s="12"/>
      <c r="FU20" s="12">
        <v>1</v>
      </c>
      <c r="FV20" s="12">
        <v>1</v>
      </c>
      <c r="FW20" s="12">
        <v>0</v>
      </c>
      <c r="FX20" s="12">
        <v>0</v>
      </c>
      <c r="FY20" s="12" t="s">
        <v>2159</v>
      </c>
      <c r="FZ20" s="12"/>
    </row>
    <row r="21" spans="1:182" ht="12.75" hidden="1" customHeight="1">
      <c r="A21" s="1" t="s">
        <v>2158</v>
      </c>
      <c r="B21" s="12" t="s">
        <v>2157</v>
      </c>
      <c r="C21" s="12">
        <v>44989747</v>
      </c>
      <c r="D21" s="12">
        <v>0</v>
      </c>
      <c r="E21" s="12">
        <v>0</v>
      </c>
      <c r="F21" s="12">
        <v>0</v>
      </c>
      <c r="G21" s="12">
        <v>1</v>
      </c>
      <c r="H21" s="21"/>
      <c r="I21" s="11">
        <v>41596</v>
      </c>
      <c r="J21" s="11">
        <v>41570</v>
      </c>
      <c r="K21" s="11">
        <v>21504</v>
      </c>
      <c r="L21" s="20">
        <f>(DAYS360(K21,I21))/365</f>
        <v>54.254794520547946</v>
      </c>
      <c r="M21" s="12" t="s">
        <v>370</v>
      </c>
      <c r="N21" s="12">
        <v>1</v>
      </c>
      <c r="O21" s="12">
        <v>0</v>
      </c>
      <c r="P21" s="12" t="s">
        <v>423</v>
      </c>
      <c r="Q21" s="12">
        <v>1</v>
      </c>
      <c r="R21" s="12" t="s">
        <v>466</v>
      </c>
      <c r="S21" s="12" t="s">
        <v>2156</v>
      </c>
      <c r="T21" s="12" t="s">
        <v>368</v>
      </c>
      <c r="U21" s="12">
        <v>0</v>
      </c>
      <c r="V21" s="12">
        <v>0</v>
      </c>
      <c r="W21" s="12">
        <v>1</v>
      </c>
      <c r="X21" s="12" t="s">
        <v>395</v>
      </c>
      <c r="Y21" s="12">
        <v>3</v>
      </c>
      <c r="Z21" s="12">
        <v>1</v>
      </c>
      <c r="AA21" s="12" t="s">
        <v>366</v>
      </c>
      <c r="AB21" s="12" t="s">
        <v>365</v>
      </c>
      <c r="AC21" s="12">
        <v>3</v>
      </c>
      <c r="AD21" s="12" t="s">
        <v>364</v>
      </c>
      <c r="AE21" s="12" t="s">
        <v>479</v>
      </c>
      <c r="AF21" s="12">
        <v>0</v>
      </c>
      <c r="AG21" s="12">
        <v>0</v>
      </c>
      <c r="AH21" s="12">
        <v>0</v>
      </c>
      <c r="AI21" s="11">
        <v>41596</v>
      </c>
      <c r="AJ21" s="11">
        <v>41638</v>
      </c>
      <c r="AK21" s="19" t="s">
        <v>1615</v>
      </c>
      <c r="AL21" s="19" t="s">
        <v>2155</v>
      </c>
      <c r="AM21" s="12">
        <v>1</v>
      </c>
      <c r="AN21" s="12">
        <v>1</v>
      </c>
      <c r="AO21" s="12">
        <v>0</v>
      </c>
      <c r="AP21" s="12">
        <v>0</v>
      </c>
      <c r="AQ21" s="12">
        <v>0</v>
      </c>
      <c r="AR21" s="12">
        <v>0</v>
      </c>
      <c r="AS21" s="12">
        <f>IF(AND(AM21=0,AU21&lt;=2), 1, 0)</f>
        <v>0</v>
      </c>
      <c r="AT21" s="12">
        <v>0</v>
      </c>
      <c r="AU21" s="12">
        <v>4</v>
      </c>
      <c r="AV21" s="12">
        <v>0.5</v>
      </c>
      <c r="AW21" s="12"/>
      <c r="AX21" s="19" t="s">
        <v>357</v>
      </c>
      <c r="AY21" s="19" t="s">
        <v>357</v>
      </c>
      <c r="AZ21" s="12">
        <v>1</v>
      </c>
      <c r="BA21" s="12">
        <f>6.5-2+0.5</f>
        <v>5</v>
      </c>
      <c r="BB21" s="12">
        <v>196.1</v>
      </c>
      <c r="BC21" s="12">
        <f>15-7+0.5</f>
        <v>8.5</v>
      </c>
      <c r="BD21" s="12">
        <v>2</v>
      </c>
      <c r="BE21" s="12">
        <v>528.1</v>
      </c>
      <c r="BF21" s="12" t="s">
        <v>2131</v>
      </c>
      <c r="BG21" s="12">
        <v>45</v>
      </c>
      <c r="BH21" s="12">
        <v>45</v>
      </c>
      <c r="BI21" s="12">
        <v>0</v>
      </c>
      <c r="BJ21" s="12">
        <v>0</v>
      </c>
      <c r="BK21" s="12">
        <f>BH21+BI21</f>
        <v>45</v>
      </c>
      <c r="BL21" s="12">
        <v>25</v>
      </c>
      <c r="BM21" s="12">
        <v>1.8</v>
      </c>
      <c r="BN21" s="12" t="s">
        <v>359</v>
      </c>
      <c r="BO21" s="12">
        <v>0</v>
      </c>
      <c r="BP21" s="12">
        <v>1</v>
      </c>
      <c r="BQ21" s="12">
        <v>1</v>
      </c>
      <c r="BR21" s="11">
        <v>41596</v>
      </c>
      <c r="BS21" s="12" t="s">
        <v>1560</v>
      </c>
      <c r="BT21" s="12" t="s">
        <v>2154</v>
      </c>
      <c r="BU21" s="12">
        <v>6</v>
      </c>
      <c r="BV21" s="12">
        <v>1</v>
      </c>
      <c r="BW21" s="12">
        <v>13.04</v>
      </c>
      <c r="BX21" s="12">
        <v>0.63100000000000001</v>
      </c>
      <c r="BY21" s="12">
        <v>0.254</v>
      </c>
      <c r="BZ21" s="12">
        <v>13.8</v>
      </c>
      <c r="CA21" s="12">
        <v>345</v>
      </c>
      <c r="CB21" s="12">
        <v>1.79</v>
      </c>
      <c r="CC21" s="12">
        <v>11.4</v>
      </c>
      <c r="CD21" s="12">
        <v>8.1</v>
      </c>
      <c r="CE21" s="12">
        <v>1</v>
      </c>
      <c r="CF21" s="11">
        <v>41683</v>
      </c>
      <c r="CG21" s="7">
        <f>CF21-AJ21</f>
        <v>45</v>
      </c>
      <c r="CH21" s="17" t="s">
        <v>461</v>
      </c>
      <c r="CI21" s="17" t="s">
        <v>460</v>
      </c>
      <c r="CJ21" s="17" t="s">
        <v>182</v>
      </c>
      <c r="CK21" s="12" t="s">
        <v>1613</v>
      </c>
      <c r="CL21" s="12" t="s">
        <v>1584</v>
      </c>
      <c r="CM21" s="12">
        <v>0</v>
      </c>
      <c r="CN21" s="12"/>
      <c r="CO21" s="12" t="s">
        <v>1549</v>
      </c>
      <c r="CP21" s="12"/>
      <c r="CQ21" s="17" t="s">
        <v>2153</v>
      </c>
      <c r="CR21" s="17">
        <v>2.1</v>
      </c>
      <c r="CS21" s="12" t="s">
        <v>1581</v>
      </c>
      <c r="CT21" s="12" t="s">
        <v>1546</v>
      </c>
      <c r="CU21" s="12" t="s">
        <v>2152</v>
      </c>
      <c r="CV21" s="17">
        <v>0</v>
      </c>
      <c r="CW21" s="12">
        <v>5.8</v>
      </c>
      <c r="CX21" s="12">
        <v>2.2999999999999998</v>
      </c>
      <c r="CY21" s="12">
        <v>0.4</v>
      </c>
      <c r="CZ21" s="12">
        <v>0</v>
      </c>
      <c r="DA21" s="12">
        <v>107</v>
      </c>
      <c r="DB21" s="13">
        <f>CZ21/DA21*100</f>
        <v>0</v>
      </c>
      <c r="DC21" s="12">
        <v>0</v>
      </c>
      <c r="DD21" s="12">
        <v>0</v>
      </c>
      <c r="DE21" s="12">
        <v>0</v>
      </c>
      <c r="DF21" s="12">
        <v>0</v>
      </c>
      <c r="DG21" s="12" t="s">
        <v>2151</v>
      </c>
      <c r="DH21" s="16">
        <v>0</v>
      </c>
      <c r="DI21" s="16">
        <v>0</v>
      </c>
      <c r="DJ21" s="11">
        <v>43852</v>
      </c>
      <c r="DK21" s="11" t="s">
        <v>1918</v>
      </c>
      <c r="DL21" s="12">
        <f>(DJ21-I21)/365.25*12</f>
        <v>74.119096509240251</v>
      </c>
      <c r="DM21" s="12">
        <v>1</v>
      </c>
      <c r="DN21" s="12" t="s">
        <v>2150</v>
      </c>
      <c r="DO21" s="11">
        <v>43272</v>
      </c>
      <c r="DP21" s="19" t="s">
        <v>1436</v>
      </c>
      <c r="DQ21" s="16">
        <v>0</v>
      </c>
      <c r="DR21" s="11" t="s">
        <v>45</v>
      </c>
      <c r="DS21" s="10">
        <f>IF(DQ21=1, (DR21-$I21)/365.25*12, IF(DQ21=0, $DL21, "ERROR"))</f>
        <v>74.119096509240251</v>
      </c>
      <c r="DT21" s="16">
        <v>1</v>
      </c>
      <c r="DU21" s="16">
        <v>0</v>
      </c>
      <c r="DV21" s="16">
        <v>1</v>
      </c>
      <c r="DW21" s="16">
        <f>DU21*(1-DV21)</f>
        <v>0</v>
      </c>
      <c r="DX21" s="16">
        <f>(1-DU21)*DV21</f>
        <v>1</v>
      </c>
      <c r="DY21" s="16">
        <f>DU21*DV21</f>
        <v>0</v>
      </c>
      <c r="DZ21" s="11">
        <v>43272</v>
      </c>
      <c r="EA21" s="10">
        <f>IF(DT21=1, (DZ21-$I21)/365.25*12, IF(DT21=0, $DL21, "ERROR"))</f>
        <v>55.063655030800817</v>
      </c>
      <c r="EB21" s="16">
        <v>1</v>
      </c>
      <c r="EC21" s="16">
        <v>0</v>
      </c>
      <c r="ED21" s="16">
        <f>1-((1-DQ21)*(1-DT21))</f>
        <v>1</v>
      </c>
      <c r="EE21" s="11">
        <f>MIN(DR21,DZ21)</f>
        <v>43272</v>
      </c>
      <c r="EF21" s="12" t="s">
        <v>2149</v>
      </c>
      <c r="EG21" s="16">
        <v>1</v>
      </c>
      <c r="EH21" s="12" t="s">
        <v>2148</v>
      </c>
      <c r="EI21" s="12">
        <v>1</v>
      </c>
      <c r="EJ21" s="16">
        <f>(1-DQ21)*DX21*(1-EI21)</f>
        <v>0</v>
      </c>
      <c r="EK21" s="11">
        <v>43272</v>
      </c>
      <c r="EL21" s="10">
        <f>IF(EI21=1, (EK21-$I21)/365.25*12, IF(EI21=0, $DL21, "ERROR"))</f>
        <v>55.063655030800817</v>
      </c>
      <c r="EM21" s="12" t="s">
        <v>2147</v>
      </c>
      <c r="EN21" s="16">
        <v>0</v>
      </c>
      <c r="EO21" s="16">
        <v>0</v>
      </c>
      <c r="EP21" s="16">
        <v>0</v>
      </c>
      <c r="EQ21" s="16">
        <v>1</v>
      </c>
      <c r="ER21" s="16">
        <v>0</v>
      </c>
      <c r="ES21" s="16">
        <v>1</v>
      </c>
      <c r="ET21" s="16">
        <v>0</v>
      </c>
      <c r="EU21" s="16">
        <v>0</v>
      </c>
      <c r="EV21" s="16">
        <v>1</v>
      </c>
      <c r="EW21" s="1">
        <f>1-((1-EP21)*(1-ET21)*(1-EU21)*(1-EV21))</f>
        <v>1</v>
      </c>
      <c r="EX21" s="16">
        <v>1</v>
      </c>
      <c r="EY21" s="16">
        <v>1</v>
      </c>
      <c r="EZ21" s="16">
        <v>0</v>
      </c>
      <c r="FA21" s="16">
        <v>0</v>
      </c>
      <c r="FB21" s="12" t="s">
        <v>45</v>
      </c>
      <c r="FC21" s="12">
        <v>1</v>
      </c>
      <c r="FD21" s="12">
        <v>1</v>
      </c>
      <c r="FE21" s="12"/>
      <c r="FF21" s="30">
        <v>43924</v>
      </c>
      <c r="FG21" s="3">
        <f>IF(FC21=1, FF21, IF(FD21=1, 44348, DJ21))</f>
        <v>43924</v>
      </c>
      <c r="FH21" s="13">
        <f>(FG21-I21)/365.25*12</f>
        <v>76.484599589322386</v>
      </c>
      <c r="FI21" s="13"/>
      <c r="FJ21" s="14">
        <f>IF(OR(DM21,FC21), 1, 0)</f>
        <v>1</v>
      </c>
      <c r="FK21" s="11">
        <f>IF(DM21=1,IF(FC21=1,MIN(DO21,FF21),DO21),IF(FC21=1,FF21,DJ21))</f>
        <v>43272</v>
      </c>
      <c r="FL21" s="13">
        <f>(FK21-$I21)/365.25*12</f>
        <v>55.063655030800817</v>
      </c>
      <c r="FM21" s="14">
        <f>IF(OR(ED21,FC21), 1, 0)</f>
        <v>1</v>
      </c>
      <c r="FN21" s="11">
        <f>IF(ED21=1,IF(FC21=1,MIN(EE21,FF21),EE21),IF(FC21=1,FF21,DJ21))</f>
        <v>43272</v>
      </c>
      <c r="FO21" s="13">
        <f>(FN21-$I21)/365.25*12</f>
        <v>55.063655030800817</v>
      </c>
      <c r="FP21" s="14">
        <f>IF(OR(EI21,FC21), 1, 0)</f>
        <v>1</v>
      </c>
      <c r="FQ21" s="11">
        <f>IF(EI21=1,IF(FC21=1,MIN(EK21,FF21),EK21),IF(FC21=1,FF21,DJ21))</f>
        <v>43272</v>
      </c>
      <c r="FR21" s="13">
        <f>(FQ21-$I21)/365.25*12</f>
        <v>55.063655030800817</v>
      </c>
      <c r="FS21" s="12"/>
      <c r="FT21" s="12"/>
      <c r="FU21" s="12">
        <v>0</v>
      </c>
      <c r="FV21" s="12">
        <v>0</v>
      </c>
      <c r="FW21" s="12">
        <v>0</v>
      </c>
      <c r="FX21" s="12">
        <v>0</v>
      </c>
      <c r="FY21" s="12" t="s">
        <v>2146</v>
      </c>
      <c r="FZ21" s="12"/>
    </row>
    <row r="22" spans="1:182" ht="12.75" hidden="1" customHeight="1">
      <c r="A22" s="1" t="s">
        <v>2145</v>
      </c>
      <c r="B22" s="12" t="s">
        <v>2144</v>
      </c>
      <c r="C22" s="12">
        <v>41908150</v>
      </c>
      <c r="D22" s="12">
        <v>0</v>
      </c>
      <c r="E22" s="12">
        <v>0</v>
      </c>
      <c r="F22" s="12">
        <v>0</v>
      </c>
      <c r="G22" s="12">
        <v>1</v>
      </c>
      <c r="H22" s="21"/>
      <c r="I22" s="11">
        <v>41624</v>
      </c>
      <c r="J22" s="11">
        <v>41611</v>
      </c>
      <c r="K22" s="11">
        <v>18202</v>
      </c>
      <c r="L22" s="20">
        <f>(DAYS360(K22,I22))/365</f>
        <v>63.249315068493154</v>
      </c>
      <c r="M22" s="12" t="s">
        <v>370</v>
      </c>
      <c r="N22" s="12">
        <v>2</v>
      </c>
      <c r="O22" s="12">
        <v>0</v>
      </c>
      <c r="P22" s="12" t="s">
        <v>447</v>
      </c>
      <c r="Q22" s="12">
        <v>0</v>
      </c>
      <c r="R22" s="12" t="s">
        <v>466</v>
      </c>
      <c r="S22" s="12">
        <v>40</v>
      </c>
      <c r="T22" s="12" t="s">
        <v>368</v>
      </c>
      <c r="U22" s="12">
        <v>0</v>
      </c>
      <c r="V22" s="12">
        <v>0</v>
      </c>
      <c r="W22" s="12">
        <v>1</v>
      </c>
      <c r="X22" s="12" t="s">
        <v>1723</v>
      </c>
      <c r="Y22" s="12">
        <v>3</v>
      </c>
      <c r="Z22" s="12">
        <v>1</v>
      </c>
      <c r="AA22" s="12" t="s">
        <v>366</v>
      </c>
      <c r="AB22" s="12" t="s">
        <v>365</v>
      </c>
      <c r="AC22" s="12">
        <v>3</v>
      </c>
      <c r="AD22" s="12" t="s">
        <v>364</v>
      </c>
      <c r="AE22" s="12" t="s">
        <v>479</v>
      </c>
      <c r="AF22" s="12">
        <v>0</v>
      </c>
      <c r="AG22" s="12">
        <v>0</v>
      </c>
      <c r="AH22" s="12">
        <v>0</v>
      </c>
      <c r="AI22" s="11">
        <v>41624</v>
      </c>
      <c r="AJ22" s="11">
        <v>41660</v>
      </c>
      <c r="AK22" s="19" t="s">
        <v>554</v>
      </c>
      <c r="AL22" s="19" t="s">
        <v>2143</v>
      </c>
      <c r="AM22" s="12">
        <v>1</v>
      </c>
      <c r="AN22" s="12">
        <v>1</v>
      </c>
      <c r="AO22" s="12">
        <v>0</v>
      </c>
      <c r="AP22" s="12">
        <v>0</v>
      </c>
      <c r="AQ22" s="12">
        <v>0</v>
      </c>
      <c r="AR22" s="12">
        <v>0</v>
      </c>
      <c r="AS22" s="12">
        <v>0</v>
      </c>
      <c r="AT22" s="12">
        <v>0</v>
      </c>
      <c r="AU22" s="19" t="s">
        <v>2142</v>
      </c>
      <c r="AV22" s="12">
        <v>0.5</v>
      </c>
      <c r="AW22" s="12"/>
      <c r="AX22" s="19" t="s">
        <v>357</v>
      </c>
      <c r="AY22" s="19" t="s">
        <v>357</v>
      </c>
      <c r="AZ22" s="12">
        <v>1</v>
      </c>
      <c r="BA22" s="12">
        <f>16-7.5+0.5</f>
        <v>9</v>
      </c>
      <c r="BB22" s="12">
        <v>225.3</v>
      </c>
      <c r="BC22" s="12">
        <v>7</v>
      </c>
      <c r="BD22" s="12">
        <v>2</v>
      </c>
      <c r="BE22" s="12">
        <v>631.70000000000005</v>
      </c>
      <c r="BF22" s="12" t="s">
        <v>2141</v>
      </c>
      <c r="BG22" s="12">
        <v>45</v>
      </c>
      <c r="BH22" s="12">
        <v>45</v>
      </c>
      <c r="BI22" s="12">
        <v>0</v>
      </c>
      <c r="BJ22" s="12">
        <v>0</v>
      </c>
      <c r="BK22" s="12">
        <f>BH22+BI22</f>
        <v>45</v>
      </c>
      <c r="BL22" s="12">
        <v>25</v>
      </c>
      <c r="BM22" s="12">
        <v>1.8</v>
      </c>
      <c r="BN22" s="12" t="s">
        <v>359</v>
      </c>
      <c r="BO22" s="12">
        <v>0</v>
      </c>
      <c r="BP22" s="12">
        <v>1</v>
      </c>
      <c r="BQ22" s="12">
        <v>1</v>
      </c>
      <c r="BR22" s="11">
        <v>41620</v>
      </c>
      <c r="BS22" s="12" t="s">
        <v>91</v>
      </c>
      <c r="BT22" s="12" t="s">
        <v>90</v>
      </c>
      <c r="BU22" s="12">
        <v>2</v>
      </c>
      <c r="BV22" s="12">
        <v>1</v>
      </c>
      <c r="BW22" s="12">
        <v>16.239999999999998</v>
      </c>
      <c r="BX22" s="12">
        <v>0.879</v>
      </c>
      <c r="BY22" s="12">
        <v>5.3999999999999999E-2</v>
      </c>
      <c r="BZ22" s="12">
        <v>8</v>
      </c>
      <c r="CA22" s="12">
        <v>359</v>
      </c>
      <c r="CB22" s="12">
        <v>1.46</v>
      </c>
      <c r="CC22" s="12">
        <v>12.6</v>
      </c>
      <c r="CD22" s="12">
        <v>8.3000000000000007</v>
      </c>
      <c r="CE22" s="12">
        <v>1</v>
      </c>
      <c r="CF22" s="11">
        <v>41718</v>
      </c>
      <c r="CG22" s="7">
        <f>CF22-AJ22</f>
        <v>58</v>
      </c>
      <c r="CH22" s="17" t="s">
        <v>461</v>
      </c>
      <c r="CI22" s="17" t="s">
        <v>460</v>
      </c>
      <c r="CJ22" s="17" t="s">
        <v>182</v>
      </c>
      <c r="CK22" s="12" t="s">
        <v>663</v>
      </c>
      <c r="CL22" s="12" t="s">
        <v>45</v>
      </c>
      <c r="CM22" s="12">
        <v>1</v>
      </c>
      <c r="CN22" s="12"/>
      <c r="CO22" s="17" t="s">
        <v>1558</v>
      </c>
      <c r="CP22" s="17"/>
      <c r="CQ22" s="17" t="s">
        <v>357</v>
      </c>
      <c r="CR22" s="17">
        <v>0</v>
      </c>
      <c r="CS22" s="12" t="s">
        <v>357</v>
      </c>
      <c r="CT22" s="12" t="s">
        <v>357</v>
      </c>
      <c r="CU22" s="12" t="s">
        <v>357</v>
      </c>
      <c r="CV22" s="17">
        <v>0</v>
      </c>
      <c r="CW22" s="12" t="s">
        <v>357</v>
      </c>
      <c r="CX22" s="12" t="s">
        <v>357</v>
      </c>
      <c r="CY22" s="12" t="s">
        <v>357</v>
      </c>
      <c r="CZ22" s="12">
        <v>0</v>
      </c>
      <c r="DA22" s="12">
        <v>82</v>
      </c>
      <c r="DB22" s="13">
        <f>CZ22/DA22*100</f>
        <v>0</v>
      </c>
      <c r="DC22" s="12" t="s">
        <v>357</v>
      </c>
      <c r="DD22" s="12" t="s">
        <v>357</v>
      </c>
      <c r="DE22" s="12" t="s">
        <v>357</v>
      </c>
      <c r="DF22" s="12" t="s">
        <v>357</v>
      </c>
      <c r="DG22" s="12" t="s">
        <v>2140</v>
      </c>
      <c r="DH22" s="16">
        <v>0</v>
      </c>
      <c r="DI22" s="16">
        <v>0</v>
      </c>
      <c r="DJ22" s="11">
        <v>41837</v>
      </c>
      <c r="DK22" s="12" t="s">
        <v>2139</v>
      </c>
      <c r="DL22" s="12">
        <f>(DJ22-I22)/365.25*12</f>
        <v>6.9979466119096507</v>
      </c>
      <c r="DM22" s="12">
        <v>0</v>
      </c>
      <c r="DN22" s="1" t="s">
        <v>357</v>
      </c>
      <c r="DO22" s="12" t="s">
        <v>357</v>
      </c>
      <c r="DP22" s="12" t="s">
        <v>357</v>
      </c>
      <c r="DQ22" s="16">
        <v>0</v>
      </c>
      <c r="DR22" s="11" t="s">
        <v>45</v>
      </c>
      <c r="DS22" s="10">
        <f>IF(DQ22=1, (DR22-$I22)/365.25*12, IF(DQ22=0, $DL22, "ERROR"))</f>
        <v>6.9979466119096507</v>
      </c>
      <c r="DT22" s="16">
        <v>0</v>
      </c>
      <c r="DU22" s="16">
        <v>0</v>
      </c>
      <c r="DV22" s="16">
        <v>0</v>
      </c>
      <c r="DW22" s="16">
        <f>DU22*(1-DV22)</f>
        <v>0</v>
      </c>
      <c r="DX22" s="16">
        <f>(1-DU22)*DV22</f>
        <v>0</v>
      </c>
      <c r="DY22" s="16">
        <f>DU22*DV22</f>
        <v>0</v>
      </c>
      <c r="DZ22" s="11" t="s">
        <v>45</v>
      </c>
      <c r="EA22" s="10">
        <f>IF(DT22=1, (DZ22-$I22)/365.25*12, IF(DT22=0, $DL22, "ERROR"))</f>
        <v>6.9979466119096507</v>
      </c>
      <c r="EB22" s="16">
        <v>0</v>
      </c>
      <c r="EC22" s="16">
        <v>0</v>
      </c>
      <c r="ED22" s="16">
        <f>1-((1-DQ22)*(1-DT22))</f>
        <v>0</v>
      </c>
      <c r="EE22" s="11" t="s">
        <v>45</v>
      </c>
      <c r="EF22" s="12" t="s">
        <v>357</v>
      </c>
      <c r="EG22" s="16"/>
      <c r="EH22" s="12"/>
      <c r="EI22" s="12">
        <v>0</v>
      </c>
      <c r="EJ22" s="16">
        <f>(1-DQ22)*DX22*(1-EI22)</f>
        <v>0</v>
      </c>
      <c r="EK22" s="12" t="s">
        <v>357</v>
      </c>
      <c r="EL22" s="10">
        <f>IF(EI22=1, (EK22-$I22)/365.25*12, IF(EI22=0, $DL22, "ERROR"))</f>
        <v>6.9979466119096507</v>
      </c>
      <c r="EM22" s="12" t="s">
        <v>357</v>
      </c>
      <c r="EN22" s="1">
        <v>0</v>
      </c>
      <c r="EO22" s="1">
        <v>0</v>
      </c>
      <c r="EP22" s="1">
        <v>0</v>
      </c>
      <c r="EQ22" s="1">
        <v>0</v>
      </c>
      <c r="ER22" s="1">
        <v>0</v>
      </c>
      <c r="ES22" s="1">
        <v>0</v>
      </c>
      <c r="ET22" s="1">
        <v>0</v>
      </c>
      <c r="EU22" s="1">
        <v>0</v>
      </c>
      <c r="EV22" s="1">
        <v>0</v>
      </c>
      <c r="EW22" s="1">
        <f>1-((1-EP22)*(1-ET22)*(1-EU22)*(1-EV22))</f>
        <v>0</v>
      </c>
      <c r="EX22" s="16">
        <v>0</v>
      </c>
      <c r="EY22" s="7">
        <v>0</v>
      </c>
      <c r="EZ22" s="7">
        <v>0</v>
      </c>
      <c r="FA22" s="7">
        <v>0</v>
      </c>
      <c r="FB22" s="12" t="s">
        <v>45</v>
      </c>
      <c r="FC22" s="12">
        <v>1</v>
      </c>
      <c r="FD22" s="12">
        <v>1</v>
      </c>
      <c r="FE22" s="12"/>
      <c r="FF22" s="18">
        <v>41842</v>
      </c>
      <c r="FG22" s="3">
        <f>IF(FC22=1, FF22, IF(FD22=1, 44348, DJ22))</f>
        <v>41842</v>
      </c>
      <c r="FH22" s="13">
        <f>(FG22-I22)/365.25*12</f>
        <v>7.1622176591375775</v>
      </c>
      <c r="FI22" s="13"/>
      <c r="FJ22" s="14">
        <f>IF(OR(DM22,FC22), 1, 0)</f>
        <v>1</v>
      </c>
      <c r="FK22" s="11">
        <f>IF(DM22=1,IF(FC22=1,MIN(DO22,FF22),DO22),IF(FC22=1,FF22,DJ22))</f>
        <v>41842</v>
      </c>
      <c r="FL22" s="13">
        <f>(FK22-$I22)/365.25*12</f>
        <v>7.1622176591375775</v>
      </c>
      <c r="FM22" s="14">
        <f>IF(OR(ED22,FC22), 1, 0)</f>
        <v>1</v>
      </c>
      <c r="FN22" s="11">
        <f>IF(ED22=1,IF(FC22=1,MIN(EE22,FF22),EE22),IF(FC22=1,FF22,DJ22))</f>
        <v>41842</v>
      </c>
      <c r="FO22" s="13">
        <f>(FN22-$I22)/365.25*12</f>
        <v>7.1622176591375775</v>
      </c>
      <c r="FP22" s="14">
        <f>IF(OR(EI22,FC22), 1, 0)</f>
        <v>1</v>
      </c>
      <c r="FQ22" s="11">
        <f>IF(EI22=1,IF(FC22=1,MIN(EK22,FF22),EK22),IF(FC22=1,FF22,DJ22))</f>
        <v>41842</v>
      </c>
      <c r="FR22" s="13">
        <f>(FQ22-$I22)/365.25*12</f>
        <v>7.1622176591375775</v>
      </c>
      <c r="FS22" s="12"/>
      <c r="FT22" s="12"/>
      <c r="FU22" s="12">
        <v>0</v>
      </c>
      <c r="FV22" s="12">
        <v>0</v>
      </c>
      <c r="FW22" s="12">
        <v>1</v>
      </c>
      <c r="FX22" s="12">
        <v>0</v>
      </c>
      <c r="FY22" s="12" t="s">
        <v>2138</v>
      </c>
      <c r="FZ22" s="12" t="s">
        <v>2137</v>
      </c>
    </row>
    <row r="23" spans="1:182" ht="12.75" hidden="1" customHeight="1">
      <c r="A23" s="1" t="s">
        <v>2136</v>
      </c>
      <c r="B23" s="12" t="s">
        <v>2135</v>
      </c>
      <c r="C23" s="12">
        <v>45115385</v>
      </c>
      <c r="D23" s="12">
        <v>0</v>
      </c>
      <c r="E23" s="12">
        <v>0</v>
      </c>
      <c r="F23" s="12">
        <v>0</v>
      </c>
      <c r="G23" s="12">
        <v>1</v>
      </c>
      <c r="H23" s="21"/>
      <c r="I23" s="11">
        <v>41634</v>
      </c>
      <c r="J23" s="11">
        <v>41612</v>
      </c>
      <c r="K23" s="11">
        <v>15366</v>
      </c>
      <c r="L23" s="20">
        <f>(DAYS360(K23,I23))/365</f>
        <v>70.93424657534247</v>
      </c>
      <c r="M23" s="12" t="s">
        <v>370</v>
      </c>
      <c r="N23" s="12">
        <v>1</v>
      </c>
      <c r="O23" s="12">
        <v>0</v>
      </c>
      <c r="P23" s="12" t="s">
        <v>410</v>
      </c>
      <c r="Q23" s="12">
        <v>2</v>
      </c>
      <c r="R23" s="12" t="s">
        <v>466</v>
      </c>
      <c r="S23" s="12">
        <v>23</v>
      </c>
      <c r="T23" s="12" t="s">
        <v>408</v>
      </c>
      <c r="U23" s="12">
        <v>1</v>
      </c>
      <c r="V23" s="12">
        <v>0</v>
      </c>
      <c r="W23" s="12">
        <v>0</v>
      </c>
      <c r="X23" s="12" t="s">
        <v>1627</v>
      </c>
      <c r="Y23" s="12">
        <v>3</v>
      </c>
      <c r="Z23" s="12">
        <v>2</v>
      </c>
      <c r="AA23" s="12" t="s">
        <v>366</v>
      </c>
      <c r="AB23" s="12" t="s">
        <v>716</v>
      </c>
      <c r="AC23" s="12">
        <v>3</v>
      </c>
      <c r="AD23" s="12" t="s">
        <v>2134</v>
      </c>
      <c r="AE23" s="12"/>
      <c r="AF23" s="12">
        <v>0</v>
      </c>
      <c r="AG23" s="12">
        <v>0</v>
      </c>
      <c r="AH23" s="12">
        <v>0</v>
      </c>
      <c r="AI23" s="11">
        <v>41634</v>
      </c>
      <c r="AJ23" s="11">
        <v>41675</v>
      </c>
      <c r="AK23" s="19" t="s">
        <v>2133</v>
      </c>
      <c r="AL23" s="19" t="s">
        <v>2132</v>
      </c>
      <c r="AM23" s="12">
        <v>0</v>
      </c>
      <c r="AN23" s="12">
        <v>0</v>
      </c>
      <c r="AO23" s="12">
        <v>0</v>
      </c>
      <c r="AP23" s="12">
        <v>0</v>
      </c>
      <c r="AQ23" s="12">
        <v>0</v>
      </c>
      <c r="AR23" s="12">
        <v>0</v>
      </c>
      <c r="AS23" s="12">
        <f>IF(AND(AM23=0,AU23&lt;=2), 1, 0)</f>
        <v>0</v>
      </c>
      <c r="AT23" s="12">
        <v>0</v>
      </c>
      <c r="AU23" s="12">
        <v>4</v>
      </c>
      <c r="AV23" s="12">
        <v>0.5</v>
      </c>
      <c r="AW23" s="12"/>
      <c r="AX23" s="19" t="s">
        <v>357</v>
      </c>
      <c r="AY23" s="19" t="s">
        <v>357</v>
      </c>
      <c r="AZ23" s="12">
        <v>1</v>
      </c>
      <c r="BA23" s="12">
        <v>6</v>
      </c>
      <c r="BB23" s="12">
        <v>241.7</v>
      </c>
      <c r="BC23" s="12">
        <v>5.5</v>
      </c>
      <c r="BD23" s="12">
        <v>4.5</v>
      </c>
      <c r="BE23" s="12">
        <v>713.7</v>
      </c>
      <c r="BF23" s="12" t="s">
        <v>2131</v>
      </c>
      <c r="BG23" s="12">
        <v>45</v>
      </c>
      <c r="BH23" s="12">
        <v>45</v>
      </c>
      <c r="BI23" s="12">
        <v>0</v>
      </c>
      <c r="BJ23" s="12">
        <v>0</v>
      </c>
      <c r="BK23" s="12">
        <f>BH23+BI23</f>
        <v>45</v>
      </c>
      <c r="BL23" s="12">
        <v>25</v>
      </c>
      <c r="BM23" s="12">
        <v>1.8</v>
      </c>
      <c r="BN23" s="12" t="s">
        <v>359</v>
      </c>
      <c r="BO23" s="12">
        <v>0</v>
      </c>
      <c r="BP23" s="12">
        <v>1</v>
      </c>
      <c r="BQ23" s="12">
        <v>1</v>
      </c>
      <c r="BR23" s="11">
        <v>41634</v>
      </c>
      <c r="BS23" s="12" t="s">
        <v>91</v>
      </c>
      <c r="BT23" s="12" t="s">
        <v>90</v>
      </c>
      <c r="BU23" s="12">
        <v>2</v>
      </c>
      <c r="BV23" s="12">
        <v>1</v>
      </c>
      <c r="BW23" s="12">
        <v>8.24</v>
      </c>
      <c r="BX23" s="12">
        <v>0.45600000000000002</v>
      </c>
      <c r="BY23" s="12">
        <v>0.39700000000000002</v>
      </c>
      <c r="BZ23" s="12">
        <v>13.3</v>
      </c>
      <c r="CA23" s="12">
        <v>264</v>
      </c>
      <c r="CB23" s="12">
        <v>1.69</v>
      </c>
      <c r="CC23" s="12">
        <v>23.62</v>
      </c>
      <c r="CD23" s="12">
        <v>7.23</v>
      </c>
      <c r="CE23" s="12">
        <v>1</v>
      </c>
      <c r="CF23" s="11">
        <v>41739</v>
      </c>
      <c r="CG23" s="7">
        <f>CF23-AJ23</f>
        <v>64</v>
      </c>
      <c r="CH23" s="12" t="s">
        <v>497</v>
      </c>
      <c r="CI23" s="12" t="s">
        <v>183</v>
      </c>
      <c r="CJ23" s="17" t="s">
        <v>515</v>
      </c>
      <c r="CK23" s="12" t="s">
        <v>2119</v>
      </c>
      <c r="CL23" s="12" t="s">
        <v>716</v>
      </c>
      <c r="CM23" s="12">
        <v>0</v>
      </c>
      <c r="CN23" s="12"/>
      <c r="CO23" s="12" t="s">
        <v>1583</v>
      </c>
      <c r="CP23" s="12"/>
      <c r="CQ23" s="17" t="s">
        <v>2130</v>
      </c>
      <c r="CR23" s="17">
        <v>4.5999999999999996</v>
      </c>
      <c r="CS23" s="12" t="s">
        <v>1581</v>
      </c>
      <c r="CT23" s="12" t="s">
        <v>511</v>
      </c>
      <c r="CU23" s="12" t="s">
        <v>472</v>
      </c>
      <c r="CV23" s="17">
        <v>0</v>
      </c>
      <c r="CW23" s="12">
        <v>0.7</v>
      </c>
      <c r="CX23" s="12">
        <v>10.1</v>
      </c>
      <c r="CY23" s="12">
        <v>0.1</v>
      </c>
      <c r="CZ23" s="12">
        <v>1</v>
      </c>
      <c r="DA23" s="12">
        <v>63</v>
      </c>
      <c r="DB23" s="13">
        <f>CZ23/DA23*100</f>
        <v>1.5873015873015872</v>
      </c>
      <c r="DC23" s="12">
        <v>1</v>
      </c>
      <c r="DD23" s="12">
        <v>0</v>
      </c>
      <c r="DE23" s="12">
        <v>0</v>
      </c>
      <c r="DF23" s="12">
        <v>0</v>
      </c>
      <c r="DG23" s="12" t="s">
        <v>2129</v>
      </c>
      <c r="DH23" s="16">
        <v>0</v>
      </c>
      <c r="DI23" s="16">
        <v>0</v>
      </c>
      <c r="DJ23" s="11">
        <v>43075</v>
      </c>
      <c r="DK23" s="11" t="s">
        <v>2128</v>
      </c>
      <c r="DL23" s="12">
        <f>(DJ23-I23)/365.25*12</f>
        <v>47.34291581108829</v>
      </c>
      <c r="DM23" s="12">
        <v>1</v>
      </c>
      <c r="DN23" s="12" t="s">
        <v>2127</v>
      </c>
      <c r="DO23" s="11">
        <v>42305</v>
      </c>
      <c r="DP23" s="19" t="s">
        <v>508</v>
      </c>
      <c r="DQ23" s="16">
        <v>0</v>
      </c>
      <c r="DR23" s="11" t="s">
        <v>45</v>
      </c>
      <c r="DS23" s="10">
        <f>IF(DQ23=1, (DR23-$I23)/365.25*12, IF(DQ23=0, $DL23, "ERROR"))</f>
        <v>47.34291581108829</v>
      </c>
      <c r="DT23" s="16">
        <v>0</v>
      </c>
      <c r="DU23" s="16">
        <v>0</v>
      </c>
      <c r="DV23" s="16">
        <v>0</v>
      </c>
      <c r="DW23" s="16">
        <f>DU23*(1-DV23)</f>
        <v>0</v>
      </c>
      <c r="DX23" s="16">
        <f>(1-DU23)*DV23</f>
        <v>0</v>
      </c>
      <c r="DY23" s="16">
        <f>DU23*DV23</f>
        <v>0</v>
      </c>
      <c r="DZ23" s="11" t="s">
        <v>45</v>
      </c>
      <c r="EA23" s="10">
        <f>IF(DT23=1, (DZ23-$I23)/365.25*12, IF(DT23=0, $DL23, "ERROR"))</f>
        <v>47.34291581108829</v>
      </c>
      <c r="EB23" s="16">
        <v>0</v>
      </c>
      <c r="EC23" s="16">
        <v>0</v>
      </c>
      <c r="ED23" s="16">
        <f>1-((1-DQ23)*(1-DT23))</f>
        <v>0</v>
      </c>
      <c r="EE23" s="11" t="s">
        <v>45</v>
      </c>
      <c r="EF23" s="12" t="s">
        <v>2126</v>
      </c>
      <c r="EG23" s="16">
        <v>1</v>
      </c>
      <c r="EH23" s="11">
        <v>42914</v>
      </c>
      <c r="EI23" s="12">
        <v>1</v>
      </c>
      <c r="EJ23" s="16">
        <f>(1-DQ23)*DX23*(1-EI23)</f>
        <v>0</v>
      </c>
      <c r="EK23" s="11">
        <v>42305</v>
      </c>
      <c r="EL23" s="10">
        <f>IF(EI23=1, (EK23-$I23)/365.25*12, IF(EI23=0, $DL23, "ERROR"))</f>
        <v>22.04517453798768</v>
      </c>
      <c r="EM23" s="12" t="s">
        <v>2125</v>
      </c>
      <c r="EN23" s="16">
        <v>1</v>
      </c>
      <c r="EO23" s="16">
        <v>0</v>
      </c>
      <c r="EP23" s="16">
        <v>0</v>
      </c>
      <c r="EQ23" s="16">
        <v>1</v>
      </c>
      <c r="ER23" s="16">
        <v>1</v>
      </c>
      <c r="ES23" s="16">
        <v>1</v>
      </c>
      <c r="ET23" s="16">
        <v>0</v>
      </c>
      <c r="EU23" s="16">
        <v>1</v>
      </c>
      <c r="EV23" s="16">
        <v>0</v>
      </c>
      <c r="EW23" s="1">
        <f>1-((1-EP23)*(1-ET23)*(1-EU23)*(1-EV23))</f>
        <v>1</v>
      </c>
      <c r="EX23" s="16">
        <v>0</v>
      </c>
      <c r="EY23" s="16">
        <v>0</v>
      </c>
      <c r="EZ23" s="16">
        <v>1</v>
      </c>
      <c r="FA23" s="16">
        <v>0</v>
      </c>
      <c r="FB23" s="12" t="s">
        <v>45</v>
      </c>
      <c r="FC23" s="12">
        <v>1</v>
      </c>
      <c r="FD23" s="12">
        <v>1</v>
      </c>
      <c r="FE23" s="12"/>
      <c r="FF23" s="30">
        <v>43088</v>
      </c>
      <c r="FG23" s="3">
        <f>IF(FC23=1, FF23, IF(FD23=1, 44348, DJ23))</f>
        <v>43088</v>
      </c>
      <c r="FH23" s="13">
        <f>(FG23-I23)/365.25*12</f>
        <v>47.770020533880903</v>
      </c>
      <c r="FI23" s="13"/>
      <c r="FJ23" s="14">
        <f>IF(OR(DM23,FC23), 1, 0)</f>
        <v>1</v>
      </c>
      <c r="FK23" s="11">
        <f>IF(DM23=1,IF(FC23=1,MIN(DO23,FF23),DO23),IF(FC23=1,FF23,DJ23))</f>
        <v>42305</v>
      </c>
      <c r="FL23" s="13">
        <f>(FK23-$I23)/365.25*12</f>
        <v>22.04517453798768</v>
      </c>
      <c r="FM23" s="14">
        <f>IF(OR(ED23,FC23), 1, 0)</f>
        <v>1</v>
      </c>
      <c r="FN23" s="11">
        <f>IF(ED23=1,IF(FC23=1,MIN(EE23,FF23),EE23),IF(FC23=1,FF23,DJ23))</f>
        <v>43088</v>
      </c>
      <c r="FO23" s="13">
        <f>(FN23-$I23)/365.25*12</f>
        <v>47.770020533880903</v>
      </c>
      <c r="FP23" s="14">
        <f>IF(OR(EI23,FC23), 1, 0)</f>
        <v>1</v>
      </c>
      <c r="FQ23" s="11">
        <f>IF(EI23=1,IF(FC23=1,MIN(EK23,FF23),EK23),IF(FC23=1,FF23,DJ23))</f>
        <v>42305</v>
      </c>
      <c r="FR23" s="13">
        <f>(FQ23-$I23)/365.25*12</f>
        <v>22.04517453798768</v>
      </c>
      <c r="FS23" s="12"/>
      <c r="FT23" s="12"/>
      <c r="FU23" s="12">
        <v>0</v>
      </c>
      <c r="FV23" s="12">
        <v>0</v>
      </c>
      <c r="FW23" s="12">
        <v>0</v>
      </c>
      <c r="FX23" s="12">
        <v>0</v>
      </c>
      <c r="FY23" s="12" t="s">
        <v>2124</v>
      </c>
      <c r="FZ23" s="12"/>
    </row>
    <row r="24" spans="1:182" ht="12.75" hidden="1" customHeight="1">
      <c r="A24" s="1" t="s">
        <v>2123</v>
      </c>
      <c r="B24" s="12" t="s">
        <v>2122</v>
      </c>
      <c r="C24" s="12">
        <v>45135675</v>
      </c>
      <c r="D24" s="12">
        <v>0</v>
      </c>
      <c r="E24" s="12">
        <v>0</v>
      </c>
      <c r="F24" s="12">
        <v>0</v>
      </c>
      <c r="G24" s="12">
        <v>1</v>
      </c>
      <c r="H24" s="21"/>
      <c r="I24" s="11">
        <v>41634</v>
      </c>
      <c r="J24" s="11">
        <v>41613</v>
      </c>
      <c r="K24" s="11">
        <v>22352</v>
      </c>
      <c r="L24" s="20">
        <f>(DAYS360(K24,I24))/365</f>
        <v>52.065753424657537</v>
      </c>
      <c r="M24" s="12" t="s">
        <v>370</v>
      </c>
      <c r="N24" s="12">
        <v>0</v>
      </c>
      <c r="O24" s="12">
        <v>0</v>
      </c>
      <c r="P24" s="12" t="s">
        <v>423</v>
      </c>
      <c r="Q24" s="12">
        <v>1</v>
      </c>
      <c r="R24" s="12" t="s">
        <v>466</v>
      </c>
      <c r="S24" s="12">
        <v>32</v>
      </c>
      <c r="T24" s="12" t="s">
        <v>368</v>
      </c>
      <c r="U24" s="12">
        <v>0</v>
      </c>
      <c r="V24" s="12">
        <v>0</v>
      </c>
      <c r="W24" s="12">
        <v>1</v>
      </c>
      <c r="X24" s="12" t="s">
        <v>383</v>
      </c>
      <c r="Y24" s="12">
        <v>2</v>
      </c>
      <c r="Z24" s="12">
        <v>1</v>
      </c>
      <c r="AA24" s="12" t="s">
        <v>382</v>
      </c>
      <c r="AB24" s="12" t="s">
        <v>381</v>
      </c>
      <c r="AC24" s="12">
        <v>2</v>
      </c>
      <c r="AD24" s="12" t="s">
        <v>2121</v>
      </c>
      <c r="AE24" s="12"/>
      <c r="AF24" s="12">
        <v>0</v>
      </c>
      <c r="AG24" s="12">
        <v>0</v>
      </c>
      <c r="AH24" s="12">
        <v>0</v>
      </c>
      <c r="AI24" s="11">
        <v>41634</v>
      </c>
      <c r="AJ24" s="11">
        <v>41673</v>
      </c>
      <c r="AK24" s="19" t="s">
        <v>2120</v>
      </c>
      <c r="AL24" s="19" t="s">
        <v>392</v>
      </c>
      <c r="AM24" s="12">
        <v>0</v>
      </c>
      <c r="AN24" s="12">
        <v>0</v>
      </c>
      <c r="AO24" s="12">
        <v>0</v>
      </c>
      <c r="AP24" s="12">
        <v>0</v>
      </c>
      <c r="AQ24" s="12">
        <v>0</v>
      </c>
      <c r="AR24" s="12">
        <v>0</v>
      </c>
      <c r="AS24" s="12">
        <f>IF(AND(AM24=0,AU24&lt;=2), 1, 0)</f>
        <v>0</v>
      </c>
      <c r="AT24" s="12">
        <v>0</v>
      </c>
      <c r="AU24" s="12">
        <v>4.5</v>
      </c>
      <c r="AV24" s="12">
        <v>0.5</v>
      </c>
      <c r="AW24" s="12"/>
      <c r="AX24" s="19" t="s">
        <v>357</v>
      </c>
      <c r="AY24" s="19" t="s">
        <v>357</v>
      </c>
      <c r="AZ24" s="12">
        <v>0.7</v>
      </c>
      <c r="BA24" s="12">
        <v>3.5</v>
      </c>
      <c r="BB24" s="12">
        <v>190.4</v>
      </c>
      <c r="BC24" s="12">
        <f>8-2.5+0.5</f>
        <v>6</v>
      </c>
      <c r="BD24" s="12">
        <f>5.5-1.5+0.5</f>
        <v>4.5</v>
      </c>
      <c r="BE24" s="12">
        <v>402.1</v>
      </c>
      <c r="BF24" s="12" t="s">
        <v>498</v>
      </c>
      <c r="BG24" s="12">
        <v>45</v>
      </c>
      <c r="BH24" s="12">
        <v>45</v>
      </c>
      <c r="BI24" s="12">
        <v>0</v>
      </c>
      <c r="BJ24" s="12">
        <v>0</v>
      </c>
      <c r="BK24" s="12">
        <f>BH24+BI24</f>
        <v>45</v>
      </c>
      <c r="BL24" s="12">
        <v>25</v>
      </c>
      <c r="BM24" s="12">
        <v>1.8</v>
      </c>
      <c r="BN24" s="12" t="s">
        <v>359</v>
      </c>
      <c r="BO24" s="12">
        <v>0</v>
      </c>
      <c r="BP24" s="12">
        <v>1</v>
      </c>
      <c r="BQ24" s="12">
        <v>1</v>
      </c>
      <c r="BR24" s="11">
        <v>41634</v>
      </c>
      <c r="BS24" s="12" t="s">
        <v>91</v>
      </c>
      <c r="BT24" s="12" t="s">
        <v>90</v>
      </c>
      <c r="BU24" s="12">
        <v>2</v>
      </c>
      <c r="BV24" s="12">
        <v>1</v>
      </c>
      <c r="BW24" s="12">
        <v>9.07</v>
      </c>
      <c r="BX24" s="12">
        <v>0.46600000000000003</v>
      </c>
      <c r="BY24" s="12">
        <v>0.39300000000000002</v>
      </c>
      <c r="BZ24" s="12">
        <v>15.3</v>
      </c>
      <c r="CA24" s="12">
        <v>243</v>
      </c>
      <c r="CB24" s="12">
        <v>1.9</v>
      </c>
      <c r="CC24" s="12">
        <v>16</v>
      </c>
      <c r="CD24" s="12"/>
      <c r="CE24" s="12">
        <v>1</v>
      </c>
      <c r="CF24" s="11">
        <v>41725</v>
      </c>
      <c r="CG24" s="7">
        <f>CF24-AJ24</f>
        <v>52</v>
      </c>
      <c r="CH24" s="12" t="s">
        <v>497</v>
      </c>
      <c r="CI24" s="12" t="s">
        <v>183</v>
      </c>
      <c r="CJ24" s="17" t="s">
        <v>515</v>
      </c>
      <c r="CK24" s="12" t="s">
        <v>2119</v>
      </c>
      <c r="CL24" s="12" t="s">
        <v>716</v>
      </c>
      <c r="CM24" s="12">
        <v>0</v>
      </c>
      <c r="CN24" s="12"/>
      <c r="CO24" s="12" t="s">
        <v>1583</v>
      </c>
      <c r="CP24" s="12"/>
      <c r="CQ24" s="17" t="s">
        <v>2118</v>
      </c>
      <c r="CR24" s="17">
        <v>3</v>
      </c>
      <c r="CS24" s="12" t="s">
        <v>1581</v>
      </c>
      <c r="CT24" s="12" t="s">
        <v>511</v>
      </c>
      <c r="CU24" s="12" t="s">
        <v>472</v>
      </c>
      <c r="CV24" s="17">
        <v>0</v>
      </c>
      <c r="CW24" s="12">
        <v>2.7</v>
      </c>
      <c r="CX24" s="12">
        <v>12.3</v>
      </c>
      <c r="CY24" s="12">
        <v>0.1</v>
      </c>
      <c r="CZ24" s="12">
        <v>3</v>
      </c>
      <c r="DA24" s="12">
        <v>39</v>
      </c>
      <c r="DB24" s="13">
        <f>CZ24/DA24*100</f>
        <v>7.6923076923076925</v>
      </c>
      <c r="DC24" s="12">
        <v>1</v>
      </c>
      <c r="DD24" s="12">
        <v>0</v>
      </c>
      <c r="DE24" s="12">
        <v>1</v>
      </c>
      <c r="DF24" s="12">
        <v>0</v>
      </c>
      <c r="DG24" s="12" t="s">
        <v>2117</v>
      </c>
      <c r="DH24" s="16">
        <v>0</v>
      </c>
      <c r="DI24" s="16">
        <v>1</v>
      </c>
      <c r="DJ24" s="11">
        <v>42033</v>
      </c>
      <c r="DK24" s="11"/>
      <c r="DL24" s="12">
        <f>(DJ24-I24)/365.25*12</f>
        <v>13.108829568788501</v>
      </c>
      <c r="DM24" s="12">
        <v>0</v>
      </c>
      <c r="DN24" s="12" t="s">
        <v>357</v>
      </c>
      <c r="DO24" s="12" t="s">
        <v>357</v>
      </c>
      <c r="DP24" s="19" t="s">
        <v>357</v>
      </c>
      <c r="DQ24" s="16">
        <v>0</v>
      </c>
      <c r="DR24" s="11" t="s">
        <v>45</v>
      </c>
      <c r="DS24" s="10">
        <f>IF(DQ24=1, (DR24-$I24)/365.25*12, IF(DQ24=0, $DL24, "ERROR"))</f>
        <v>13.108829568788501</v>
      </c>
      <c r="DT24" s="16">
        <v>0</v>
      </c>
      <c r="DU24" s="16">
        <v>0</v>
      </c>
      <c r="DV24" s="16">
        <v>0</v>
      </c>
      <c r="DW24" s="16">
        <f>DU24*(1-DV24)</f>
        <v>0</v>
      </c>
      <c r="DX24" s="16">
        <f>(1-DU24)*DV24</f>
        <v>0</v>
      </c>
      <c r="DY24" s="16">
        <f>DU24*DV24</f>
        <v>0</v>
      </c>
      <c r="DZ24" s="11" t="s">
        <v>45</v>
      </c>
      <c r="EA24" s="10">
        <f>IF(DT24=1, (DZ24-$I24)/365.25*12, IF(DT24=0, $DL24, "ERROR"))</f>
        <v>13.108829568788501</v>
      </c>
      <c r="EB24" s="16">
        <v>0</v>
      </c>
      <c r="EC24" s="16">
        <v>0</v>
      </c>
      <c r="ED24" s="16">
        <f>1-((1-DQ24)*(1-DT24))</f>
        <v>0</v>
      </c>
      <c r="EE24" s="11" t="s">
        <v>45</v>
      </c>
      <c r="EF24" s="12" t="s">
        <v>357</v>
      </c>
      <c r="EG24" s="16" t="s">
        <v>357</v>
      </c>
      <c r="EH24" s="12" t="s">
        <v>357</v>
      </c>
      <c r="EI24" s="12">
        <v>0</v>
      </c>
      <c r="EJ24" s="16">
        <f>(1-DQ24)*DX24*(1-EI24)</f>
        <v>0</v>
      </c>
      <c r="EK24" s="12" t="s">
        <v>45</v>
      </c>
      <c r="EL24" s="10">
        <f>IF(EI24=1, (EK24-$I24)/365.25*12, IF(EI24=0, $DL24, "ERROR"))</f>
        <v>13.108829568788501</v>
      </c>
      <c r="EM24" s="12" t="s">
        <v>45</v>
      </c>
      <c r="EN24" s="1">
        <v>0</v>
      </c>
      <c r="EO24" s="1">
        <v>0</v>
      </c>
      <c r="EP24" s="1">
        <v>0</v>
      </c>
      <c r="EQ24" s="1">
        <v>0</v>
      </c>
      <c r="ER24" s="1">
        <v>0</v>
      </c>
      <c r="ES24" s="1">
        <v>0</v>
      </c>
      <c r="ET24" s="1">
        <v>0</v>
      </c>
      <c r="EU24" s="1">
        <v>0</v>
      </c>
      <c r="EV24" s="1">
        <v>0</v>
      </c>
      <c r="EW24" s="1">
        <f>1-((1-EP24)*(1-ET24)*(1-EU24)*(1-EV24))</f>
        <v>0</v>
      </c>
      <c r="EX24" s="16">
        <v>0</v>
      </c>
      <c r="EY24" s="7">
        <v>0</v>
      </c>
      <c r="EZ24" s="7">
        <v>0</v>
      </c>
      <c r="FA24" s="7">
        <v>0</v>
      </c>
      <c r="FB24" s="12" t="s">
        <v>45</v>
      </c>
      <c r="FC24" s="12">
        <v>1</v>
      </c>
      <c r="FD24" s="12">
        <v>1</v>
      </c>
      <c r="FE24" s="12"/>
      <c r="FF24" s="18">
        <v>42052</v>
      </c>
      <c r="FG24" s="3">
        <f>IF(FC24=1, FF24, IF(FD24=1, 44348, DJ24))</f>
        <v>42052</v>
      </c>
      <c r="FH24" s="13">
        <f>(FG24-I24)/365.25*12</f>
        <v>13.733059548254619</v>
      </c>
      <c r="FI24" s="13"/>
      <c r="FJ24" s="14">
        <f>IF(OR(DM24,FC24), 1, 0)</f>
        <v>1</v>
      </c>
      <c r="FK24" s="11">
        <f>IF(DM24=1,IF(FC24=1,MIN(DO24,FF24),DO24),IF(FC24=1,FF24,DJ24))</f>
        <v>42052</v>
      </c>
      <c r="FL24" s="13">
        <f>(FK24-$I24)/365.25*12</f>
        <v>13.733059548254619</v>
      </c>
      <c r="FM24" s="14">
        <f>IF(OR(ED24,FC24), 1, 0)</f>
        <v>1</v>
      </c>
      <c r="FN24" s="11">
        <f>IF(ED24=1,IF(FC24=1,MIN(EE24,FF24),EE24),IF(FC24=1,FF24,DJ24))</f>
        <v>42052</v>
      </c>
      <c r="FO24" s="13">
        <f>(FN24-$I24)/365.25*12</f>
        <v>13.733059548254619</v>
      </c>
      <c r="FP24" s="14">
        <f>IF(OR(EI24,FC24), 1, 0)</f>
        <v>1</v>
      </c>
      <c r="FQ24" s="11">
        <f>IF(EI24=1,IF(FC24=1,MIN(EK24,FF24),EK24),IF(FC24=1,FF24,DJ24))</f>
        <v>42052</v>
      </c>
      <c r="FR24" s="13">
        <f>(FQ24-$I24)/365.25*12</f>
        <v>13.733059548254619</v>
      </c>
      <c r="FS24" s="12"/>
      <c r="FT24" s="12"/>
      <c r="FU24" s="12">
        <v>0</v>
      </c>
      <c r="FV24" s="12">
        <v>0</v>
      </c>
      <c r="FW24" s="12">
        <v>0</v>
      </c>
      <c r="FX24" s="12">
        <v>0</v>
      </c>
      <c r="FY24" s="12" t="s">
        <v>2116</v>
      </c>
      <c r="FZ24" s="12"/>
    </row>
    <row r="25" spans="1:182" ht="12.75" hidden="1" customHeight="1">
      <c r="A25" s="1" t="s">
        <v>2115</v>
      </c>
      <c r="B25" s="31" t="s">
        <v>2114</v>
      </c>
      <c r="C25" s="12">
        <v>45146822</v>
      </c>
      <c r="D25" s="12">
        <v>0</v>
      </c>
      <c r="E25" s="12">
        <v>0</v>
      </c>
      <c r="F25" s="12">
        <v>0</v>
      </c>
      <c r="G25" s="12">
        <v>1</v>
      </c>
      <c r="H25" s="21"/>
      <c r="I25" s="11">
        <v>41659</v>
      </c>
      <c r="J25" s="11">
        <v>41615</v>
      </c>
      <c r="K25" s="11">
        <v>18614</v>
      </c>
      <c r="L25" s="20">
        <f>(DAYS360(K25,I25))/365</f>
        <v>62.227397260273975</v>
      </c>
      <c r="M25" s="12" t="s">
        <v>370</v>
      </c>
      <c r="N25" s="12">
        <v>1</v>
      </c>
      <c r="O25" s="12">
        <v>0</v>
      </c>
      <c r="P25" s="12" t="s">
        <v>423</v>
      </c>
      <c r="Q25" s="12">
        <v>1</v>
      </c>
      <c r="R25" s="12" t="s">
        <v>466</v>
      </c>
      <c r="S25" s="12" t="s">
        <v>2113</v>
      </c>
      <c r="T25" s="12" t="s">
        <v>408</v>
      </c>
      <c r="U25" s="12">
        <v>1</v>
      </c>
      <c r="V25" s="12">
        <v>0</v>
      </c>
      <c r="W25" s="12">
        <v>0</v>
      </c>
      <c r="X25" s="12" t="s">
        <v>383</v>
      </c>
      <c r="Y25" s="12">
        <v>2</v>
      </c>
      <c r="Z25" s="12">
        <v>1</v>
      </c>
      <c r="AA25" s="12" t="s">
        <v>382</v>
      </c>
      <c r="AB25" s="12" t="s">
        <v>381</v>
      </c>
      <c r="AC25" s="12">
        <v>2</v>
      </c>
      <c r="AD25" s="12" t="s">
        <v>444</v>
      </c>
      <c r="AE25" s="12"/>
      <c r="AF25" s="12">
        <v>0</v>
      </c>
      <c r="AG25" s="12">
        <v>0</v>
      </c>
      <c r="AH25" s="12">
        <v>0</v>
      </c>
      <c r="AI25" s="11">
        <v>41659</v>
      </c>
      <c r="AJ25" s="11">
        <v>41695</v>
      </c>
      <c r="AK25" s="19" t="s">
        <v>2112</v>
      </c>
      <c r="AL25" s="19" t="s">
        <v>499</v>
      </c>
      <c r="AM25" s="12">
        <v>1</v>
      </c>
      <c r="AN25" s="12">
        <v>0</v>
      </c>
      <c r="AO25" s="12">
        <v>1</v>
      </c>
      <c r="AP25" s="12">
        <v>0</v>
      </c>
      <c r="AQ25" s="12">
        <v>0</v>
      </c>
      <c r="AR25" s="12">
        <v>0</v>
      </c>
      <c r="AS25" s="12">
        <v>0</v>
      </c>
      <c r="AT25" s="12">
        <v>0</v>
      </c>
      <c r="AU25" s="19" t="s">
        <v>1589</v>
      </c>
      <c r="AV25" s="12">
        <v>2</v>
      </c>
      <c r="AW25" s="12"/>
      <c r="AX25" s="19" t="s">
        <v>357</v>
      </c>
      <c r="AY25" s="19" t="s">
        <v>357</v>
      </c>
      <c r="AZ25" s="12">
        <v>0.7</v>
      </c>
      <c r="BA25" s="12">
        <v>4</v>
      </c>
      <c r="BB25" s="12">
        <v>211.9</v>
      </c>
      <c r="BC25" s="12">
        <v>2</v>
      </c>
      <c r="BD25" s="12">
        <v>4</v>
      </c>
      <c r="BE25" s="12">
        <v>494.3</v>
      </c>
      <c r="BF25" s="12" t="s">
        <v>2111</v>
      </c>
      <c r="BG25" s="12">
        <v>45</v>
      </c>
      <c r="BH25" s="12">
        <v>45</v>
      </c>
      <c r="BI25" s="12">
        <v>0</v>
      </c>
      <c r="BJ25" s="12">
        <v>0</v>
      </c>
      <c r="BK25" s="12">
        <f>BH25+BI25</f>
        <v>45</v>
      </c>
      <c r="BL25" s="12">
        <v>25</v>
      </c>
      <c r="BM25" s="12">
        <v>1.8</v>
      </c>
      <c r="BN25" s="12" t="s">
        <v>608</v>
      </c>
      <c r="BO25" s="12">
        <v>1</v>
      </c>
      <c r="BP25" s="12">
        <v>1</v>
      </c>
      <c r="BQ25" s="12">
        <v>1</v>
      </c>
      <c r="BR25" s="11">
        <v>41659</v>
      </c>
      <c r="BS25" s="12" t="s">
        <v>1560</v>
      </c>
      <c r="BT25" s="12" t="s">
        <v>1559</v>
      </c>
      <c r="BU25" s="12">
        <v>4</v>
      </c>
      <c r="BV25" s="12">
        <v>0</v>
      </c>
      <c r="BW25" s="12">
        <v>6.19</v>
      </c>
      <c r="BX25" s="12">
        <v>0.62</v>
      </c>
      <c r="BY25" s="12">
        <v>0.22900000000000001</v>
      </c>
      <c r="BZ25" s="12">
        <v>13.6</v>
      </c>
      <c r="CA25" s="12">
        <v>215</v>
      </c>
      <c r="CB25" s="12">
        <v>1.81</v>
      </c>
      <c r="CC25" s="12">
        <v>28.6</v>
      </c>
      <c r="CD25" s="12"/>
      <c r="CE25" s="12">
        <v>1</v>
      </c>
      <c r="CF25" s="11">
        <v>41746</v>
      </c>
      <c r="CG25" s="7">
        <f>CF25-AJ25</f>
        <v>51</v>
      </c>
      <c r="CH25" s="12" t="s">
        <v>497</v>
      </c>
      <c r="CI25" s="12" t="s">
        <v>183</v>
      </c>
      <c r="CJ25" s="17" t="s">
        <v>515</v>
      </c>
      <c r="CK25" s="12" t="s">
        <v>663</v>
      </c>
      <c r="CL25" s="12" t="s">
        <v>45</v>
      </c>
      <c r="CM25" s="12">
        <v>1</v>
      </c>
      <c r="CN25" s="12"/>
      <c r="CO25" s="17" t="s">
        <v>1558</v>
      </c>
      <c r="CP25" s="17"/>
      <c r="CQ25" s="17" t="s">
        <v>357</v>
      </c>
      <c r="CR25" s="17">
        <v>0</v>
      </c>
      <c r="CS25" s="12" t="s">
        <v>357</v>
      </c>
      <c r="CT25" s="12" t="s">
        <v>357</v>
      </c>
      <c r="CU25" s="12" t="s">
        <v>357</v>
      </c>
      <c r="CV25" s="17">
        <v>0</v>
      </c>
      <c r="CW25" s="12" t="s">
        <v>357</v>
      </c>
      <c r="CX25" s="12" t="s">
        <v>357</v>
      </c>
      <c r="CY25" s="12" t="s">
        <v>357</v>
      </c>
      <c r="CZ25" s="12">
        <v>0</v>
      </c>
      <c r="DA25" s="12">
        <v>57</v>
      </c>
      <c r="DB25" s="13">
        <f>CZ25/DA25*100</f>
        <v>0</v>
      </c>
      <c r="DC25" s="12" t="s">
        <v>357</v>
      </c>
      <c r="DD25" s="12" t="s">
        <v>357</v>
      </c>
      <c r="DE25" s="12" t="s">
        <v>357</v>
      </c>
      <c r="DF25" s="12" t="s">
        <v>357</v>
      </c>
      <c r="DG25" s="12" t="s">
        <v>2110</v>
      </c>
      <c r="DH25" s="16">
        <v>0</v>
      </c>
      <c r="DI25" s="16">
        <v>0</v>
      </c>
      <c r="DJ25" s="11">
        <v>44300</v>
      </c>
      <c r="DK25" s="11" t="s">
        <v>1556</v>
      </c>
      <c r="DL25" s="12">
        <f>(DJ25-I25)/365.25*12</f>
        <v>86.76796714579055</v>
      </c>
      <c r="DM25" s="12">
        <v>0</v>
      </c>
      <c r="DN25" s="12" t="s">
        <v>357</v>
      </c>
      <c r="DO25" s="12" t="s">
        <v>357</v>
      </c>
      <c r="DP25" s="12" t="s">
        <v>357</v>
      </c>
      <c r="DQ25" s="16">
        <v>0</v>
      </c>
      <c r="DR25" s="11" t="s">
        <v>45</v>
      </c>
      <c r="DS25" s="10">
        <f>IF(DQ25=1, (DR25-$I25)/365.25*12, IF(DQ25=0, $DL25, "ERROR"))</f>
        <v>86.76796714579055</v>
      </c>
      <c r="DT25" s="16">
        <v>0</v>
      </c>
      <c r="DU25" s="16">
        <v>0</v>
      </c>
      <c r="DV25" s="16">
        <v>0</v>
      </c>
      <c r="DW25" s="16">
        <f>DU25*(1-DV25)</f>
        <v>0</v>
      </c>
      <c r="DX25" s="16">
        <f>(1-DU25)*DV25</f>
        <v>0</v>
      </c>
      <c r="DY25" s="16">
        <f>DU25*DV25</f>
        <v>0</v>
      </c>
      <c r="DZ25" s="11" t="s">
        <v>45</v>
      </c>
      <c r="EA25" s="10">
        <f>IF(DT25=1, (DZ25-$I25)/365.25*12, IF(DT25=0, $DL25, "ERROR"))</f>
        <v>86.76796714579055</v>
      </c>
      <c r="EB25" s="16">
        <v>0</v>
      </c>
      <c r="EC25" s="16">
        <v>0</v>
      </c>
      <c r="ED25" s="16">
        <f>1-((1-DQ25)*(1-DT25))</f>
        <v>0</v>
      </c>
      <c r="EE25" s="11" t="s">
        <v>45</v>
      </c>
      <c r="EF25" s="12" t="s">
        <v>357</v>
      </c>
      <c r="EG25" s="16" t="s">
        <v>45</v>
      </c>
      <c r="EH25" s="12" t="s">
        <v>45</v>
      </c>
      <c r="EI25" s="12">
        <v>0</v>
      </c>
      <c r="EJ25" s="16">
        <f>(1-DQ25)*DX25*(1-EI25)</f>
        <v>0</v>
      </c>
      <c r="EK25" s="12" t="s">
        <v>357</v>
      </c>
      <c r="EL25" s="10">
        <f>IF(EI25=1, (EK25-$I25)/365.25*12, IF(EI25=0, $DL25, "ERROR"))</f>
        <v>86.76796714579055</v>
      </c>
      <c r="EM25" s="12" t="s">
        <v>357</v>
      </c>
      <c r="EN25" s="1">
        <v>0</v>
      </c>
      <c r="EO25" s="1">
        <v>0</v>
      </c>
      <c r="EP25" s="1">
        <v>0</v>
      </c>
      <c r="EQ25" s="1">
        <v>0</v>
      </c>
      <c r="ER25" s="1">
        <v>0</v>
      </c>
      <c r="ES25" s="1">
        <v>0</v>
      </c>
      <c r="ET25" s="1">
        <v>0</v>
      </c>
      <c r="EU25" s="1">
        <v>0</v>
      </c>
      <c r="EV25" s="1">
        <v>0</v>
      </c>
      <c r="EW25" s="1">
        <f>1-((1-EP25)*(1-ET25)*(1-EU25)*(1-EV25))</f>
        <v>0</v>
      </c>
      <c r="EX25" s="16">
        <v>0</v>
      </c>
      <c r="EY25" s="7">
        <v>0</v>
      </c>
      <c r="EZ25" s="7">
        <v>0</v>
      </c>
      <c r="FA25" s="7">
        <v>0</v>
      </c>
      <c r="FB25" s="12" t="s">
        <v>357</v>
      </c>
      <c r="FC25" s="12">
        <v>0</v>
      </c>
      <c r="FD25" s="12">
        <v>1</v>
      </c>
      <c r="FE25" s="12"/>
      <c r="FF25" s="30" t="s">
        <v>45</v>
      </c>
      <c r="FG25" s="3">
        <f>IF(FC25=1, FF25, IF(FD25=1, 44348, DJ25))</f>
        <v>44348</v>
      </c>
      <c r="FH25" s="13">
        <f>(FG25-I25)/365.25*12</f>
        <v>88.344969199178649</v>
      </c>
      <c r="FI25" s="13"/>
      <c r="FJ25" s="14">
        <f>IF(OR(DM25,FC25), 1, 0)</f>
        <v>0</v>
      </c>
      <c r="FK25" s="11">
        <f>IF(DM25=1,IF(FC25=1,MIN(DO25,FF25),DO25),IF(FC25=1,FF25,DJ25))</f>
        <v>44300</v>
      </c>
      <c r="FL25" s="13">
        <f>(FK25-$I25)/365.25*12</f>
        <v>86.76796714579055</v>
      </c>
      <c r="FM25" s="14">
        <f>IF(OR(ED25,FC25), 1, 0)</f>
        <v>0</v>
      </c>
      <c r="FN25" s="11">
        <f>IF(ED25=1,IF(FC25=1,MIN(EE25,FF25),EE25),IF(FC25=1,FF25,DJ25))</f>
        <v>44300</v>
      </c>
      <c r="FO25" s="13">
        <f>(FN25-$I25)/365.25*12</f>
        <v>86.76796714579055</v>
      </c>
      <c r="FP25" s="14">
        <f>IF(OR(EI25,FC25), 1, 0)</f>
        <v>0</v>
      </c>
      <c r="FQ25" s="11">
        <f>IF(EI25=1,IF(FC25=1,MIN(EK25,FF25),EK25),IF(FC25=1,FF25,DJ25))</f>
        <v>44300</v>
      </c>
      <c r="FR25" s="13">
        <f>(FQ25-$I25)/365.25*12</f>
        <v>86.76796714579055</v>
      </c>
      <c r="FS25" s="12"/>
      <c r="FT25" s="12"/>
      <c r="FU25" s="12">
        <v>1</v>
      </c>
      <c r="FV25" s="12">
        <v>1</v>
      </c>
      <c r="FW25" s="12">
        <v>1</v>
      </c>
      <c r="FX25" s="12">
        <v>0</v>
      </c>
      <c r="FY25" s="12" t="s">
        <v>2109</v>
      </c>
      <c r="FZ25" s="12"/>
    </row>
    <row r="26" spans="1:182" ht="12.75" hidden="1" customHeight="1">
      <c r="A26" s="1" t="s">
        <v>2108</v>
      </c>
      <c r="B26" s="12" t="s">
        <v>2107</v>
      </c>
      <c r="C26" s="12">
        <v>44792873</v>
      </c>
      <c r="D26" s="12">
        <v>0</v>
      </c>
      <c r="E26" s="12">
        <v>0</v>
      </c>
      <c r="F26" s="12">
        <v>0</v>
      </c>
      <c r="G26" s="12">
        <v>1</v>
      </c>
      <c r="H26" s="21"/>
      <c r="I26" s="11">
        <v>41684</v>
      </c>
      <c r="J26" s="11">
        <v>41641</v>
      </c>
      <c r="K26" s="11">
        <v>18802</v>
      </c>
      <c r="L26" s="20">
        <f>(DAYS360(K26,I26))/365</f>
        <v>61.783561643835618</v>
      </c>
      <c r="M26" s="12" t="s">
        <v>370</v>
      </c>
      <c r="N26" s="12">
        <v>1</v>
      </c>
      <c r="O26" s="12">
        <v>0</v>
      </c>
      <c r="P26" s="12" t="s">
        <v>423</v>
      </c>
      <c r="Q26" s="12">
        <v>1</v>
      </c>
      <c r="R26" s="12" t="s">
        <v>466</v>
      </c>
      <c r="S26" s="12">
        <v>35</v>
      </c>
      <c r="T26" s="12" t="s">
        <v>368</v>
      </c>
      <c r="U26" s="12">
        <v>0</v>
      </c>
      <c r="V26" s="12">
        <v>0</v>
      </c>
      <c r="W26" s="12">
        <v>1</v>
      </c>
      <c r="X26" s="12" t="s">
        <v>383</v>
      </c>
      <c r="Y26" s="12">
        <v>2</v>
      </c>
      <c r="Z26" s="12">
        <v>1</v>
      </c>
      <c r="AA26" s="12" t="s">
        <v>382</v>
      </c>
      <c r="AB26" s="12" t="s">
        <v>381</v>
      </c>
      <c r="AC26" s="12">
        <v>2</v>
      </c>
      <c r="AD26" s="12" t="s">
        <v>1710</v>
      </c>
      <c r="AE26" s="12" t="s">
        <v>465</v>
      </c>
      <c r="AF26" s="12">
        <v>0</v>
      </c>
      <c r="AG26" s="12">
        <v>0</v>
      </c>
      <c r="AH26" s="12">
        <v>0</v>
      </c>
      <c r="AI26" s="11">
        <v>41684</v>
      </c>
      <c r="AJ26" s="11">
        <v>41718</v>
      </c>
      <c r="AK26" s="19" t="s">
        <v>2106</v>
      </c>
      <c r="AL26" s="19" t="s">
        <v>392</v>
      </c>
      <c r="AM26" s="12">
        <v>1</v>
      </c>
      <c r="AN26" s="12">
        <v>1</v>
      </c>
      <c r="AO26" s="12">
        <v>0</v>
      </c>
      <c r="AP26" s="12">
        <v>0</v>
      </c>
      <c r="AQ26" s="12">
        <v>0</v>
      </c>
      <c r="AR26" s="12">
        <v>0</v>
      </c>
      <c r="AS26" s="12">
        <f>IF(AND(AM26=0,AU26&lt;=2), 1, 0)</f>
        <v>0</v>
      </c>
      <c r="AT26" s="12">
        <v>0</v>
      </c>
      <c r="AU26" s="12">
        <v>4</v>
      </c>
      <c r="AV26" s="12">
        <v>1</v>
      </c>
      <c r="AW26" s="12"/>
      <c r="AX26" s="19" t="s">
        <v>357</v>
      </c>
      <c r="AY26" s="19" t="s">
        <v>357</v>
      </c>
      <c r="AZ26" s="19" t="s">
        <v>2105</v>
      </c>
      <c r="BA26" s="12">
        <f>5.7-3.3+0.3</f>
        <v>2.7</v>
      </c>
      <c r="BB26" s="12">
        <v>170.7</v>
      </c>
      <c r="BC26" s="12">
        <f>12.9+3+0.3</f>
        <v>16.2</v>
      </c>
      <c r="BD26" s="12">
        <v>2</v>
      </c>
      <c r="BE26" s="12">
        <v>516.5</v>
      </c>
      <c r="BF26" s="12" t="s">
        <v>2104</v>
      </c>
      <c r="BG26" s="12">
        <v>45</v>
      </c>
      <c r="BH26" s="12">
        <v>45</v>
      </c>
      <c r="BI26" s="12">
        <v>0</v>
      </c>
      <c r="BJ26" s="12">
        <v>0</v>
      </c>
      <c r="BK26" s="12">
        <f>BH26+BI26</f>
        <v>45</v>
      </c>
      <c r="BL26" s="12">
        <v>25</v>
      </c>
      <c r="BM26" s="12">
        <v>1.8</v>
      </c>
      <c r="BN26" s="12" t="s">
        <v>359</v>
      </c>
      <c r="BO26" s="12">
        <v>0</v>
      </c>
      <c r="BP26" s="12">
        <v>1</v>
      </c>
      <c r="BQ26" s="12">
        <v>1</v>
      </c>
      <c r="BR26" s="11">
        <v>41684</v>
      </c>
      <c r="BS26" s="12" t="s">
        <v>91</v>
      </c>
      <c r="BT26" s="12" t="s">
        <v>90</v>
      </c>
      <c r="BU26" s="12">
        <v>2</v>
      </c>
      <c r="BV26" s="12">
        <v>1</v>
      </c>
      <c r="BW26" s="12">
        <v>7.04</v>
      </c>
      <c r="BX26" s="12">
        <v>0.63500000000000001</v>
      </c>
      <c r="BY26" s="12">
        <v>0.26500000000000001</v>
      </c>
      <c r="BZ26" s="12">
        <v>12.9</v>
      </c>
      <c r="CA26" s="12">
        <v>228</v>
      </c>
      <c r="CB26" s="12">
        <v>1.75</v>
      </c>
      <c r="CC26" s="12">
        <v>5.94</v>
      </c>
      <c r="CD26" s="12">
        <v>10.199999999999999</v>
      </c>
      <c r="CE26" s="12">
        <v>1</v>
      </c>
      <c r="CF26" s="11">
        <v>41781</v>
      </c>
      <c r="CG26" s="7">
        <f>CF26-AJ26</f>
        <v>63</v>
      </c>
      <c r="CH26" s="12" t="s">
        <v>2103</v>
      </c>
      <c r="CI26" s="12" t="s">
        <v>183</v>
      </c>
      <c r="CJ26" s="17" t="s">
        <v>515</v>
      </c>
      <c r="CK26" s="12" t="s">
        <v>663</v>
      </c>
      <c r="CL26" s="12" t="s">
        <v>45</v>
      </c>
      <c r="CM26" s="12">
        <v>1</v>
      </c>
      <c r="CN26" s="12"/>
      <c r="CO26" s="17" t="s">
        <v>1558</v>
      </c>
      <c r="CP26" s="17"/>
      <c r="CQ26" s="17" t="s">
        <v>357</v>
      </c>
      <c r="CR26" s="17">
        <v>0</v>
      </c>
      <c r="CS26" s="12" t="s">
        <v>357</v>
      </c>
      <c r="CT26" s="12" t="s">
        <v>357</v>
      </c>
      <c r="CU26" s="12" t="s">
        <v>357</v>
      </c>
      <c r="CV26" s="17">
        <v>0</v>
      </c>
      <c r="CW26" s="12" t="s">
        <v>357</v>
      </c>
      <c r="CX26" s="12" t="s">
        <v>357</v>
      </c>
      <c r="CY26" s="12" t="s">
        <v>357</v>
      </c>
      <c r="CZ26" s="12">
        <v>0</v>
      </c>
      <c r="DA26" s="12">
        <v>31</v>
      </c>
      <c r="DB26" s="13">
        <f>CZ26/DA26*100</f>
        <v>0</v>
      </c>
      <c r="DC26" s="12" t="s">
        <v>357</v>
      </c>
      <c r="DD26" s="12" t="s">
        <v>357</v>
      </c>
      <c r="DE26" s="12" t="s">
        <v>357</v>
      </c>
      <c r="DF26" s="12" t="s">
        <v>357</v>
      </c>
      <c r="DG26" s="12" t="s">
        <v>2102</v>
      </c>
      <c r="DH26" s="16">
        <v>0</v>
      </c>
      <c r="DI26" s="16">
        <v>0</v>
      </c>
      <c r="DJ26" s="11">
        <v>42704</v>
      </c>
      <c r="DK26" s="1" t="s">
        <v>1556</v>
      </c>
      <c r="DL26" s="12">
        <f>(DJ26-I26)/365.25*12</f>
        <v>33.511293634496923</v>
      </c>
      <c r="DM26" s="12">
        <v>0</v>
      </c>
      <c r="DN26" s="12" t="s">
        <v>357</v>
      </c>
      <c r="DO26" s="12" t="s">
        <v>357</v>
      </c>
      <c r="DP26" s="12" t="s">
        <v>357</v>
      </c>
      <c r="DQ26" s="16">
        <v>0</v>
      </c>
      <c r="DR26" s="11" t="s">
        <v>45</v>
      </c>
      <c r="DS26" s="10">
        <f>IF(DQ26=1, (DR26-$I26)/365.25*12, IF(DQ26=0, $DL26, "ERROR"))</f>
        <v>33.511293634496923</v>
      </c>
      <c r="DT26" s="16">
        <v>0</v>
      </c>
      <c r="DU26" s="16">
        <v>0</v>
      </c>
      <c r="DV26" s="16">
        <v>0</v>
      </c>
      <c r="DW26" s="16">
        <f>DU26*(1-DV26)</f>
        <v>0</v>
      </c>
      <c r="DX26" s="16">
        <f>(1-DU26)*DV26</f>
        <v>0</v>
      </c>
      <c r="DY26" s="16">
        <f>DU26*DV26</f>
        <v>0</v>
      </c>
      <c r="DZ26" s="11" t="s">
        <v>45</v>
      </c>
      <c r="EA26" s="10">
        <f>IF(DT26=1, (DZ26-$I26)/365.25*12, IF(DT26=0, $DL26, "ERROR"))</f>
        <v>33.511293634496923</v>
      </c>
      <c r="EB26" s="16">
        <v>0</v>
      </c>
      <c r="EC26" s="16">
        <v>0</v>
      </c>
      <c r="ED26" s="16">
        <f>1-((1-DQ26)*(1-DT26))</f>
        <v>0</v>
      </c>
      <c r="EE26" s="11" t="s">
        <v>45</v>
      </c>
      <c r="EF26" s="12" t="s">
        <v>357</v>
      </c>
      <c r="EG26" s="16" t="s">
        <v>45</v>
      </c>
      <c r="EH26" s="12" t="s">
        <v>45</v>
      </c>
      <c r="EI26" s="12">
        <v>0</v>
      </c>
      <c r="EJ26" s="16">
        <f>(1-DQ26)*DX26*(1-EI26)</f>
        <v>0</v>
      </c>
      <c r="EK26" s="12" t="s">
        <v>357</v>
      </c>
      <c r="EL26" s="10">
        <f>IF(EI26=1, (EK26-$I26)/365.25*12, IF(EI26=0, $DL26, "ERROR"))</f>
        <v>33.511293634496923</v>
      </c>
      <c r="EM26" s="12" t="s">
        <v>357</v>
      </c>
      <c r="EN26" s="1">
        <v>0</v>
      </c>
      <c r="EO26" s="1">
        <v>0</v>
      </c>
      <c r="EP26" s="1">
        <v>0</v>
      </c>
      <c r="EQ26" s="1">
        <v>0</v>
      </c>
      <c r="ER26" s="1">
        <v>0</v>
      </c>
      <c r="ES26" s="1">
        <v>0</v>
      </c>
      <c r="ET26" s="1">
        <v>0</v>
      </c>
      <c r="EU26" s="1">
        <v>0</v>
      </c>
      <c r="EV26" s="1">
        <v>0</v>
      </c>
      <c r="EW26" s="1">
        <f>1-((1-EP26)*(1-ET26)*(1-EU26)*(1-EV26))</f>
        <v>0</v>
      </c>
      <c r="EX26" s="16">
        <v>0</v>
      </c>
      <c r="EY26" s="7">
        <v>0</v>
      </c>
      <c r="EZ26" s="7">
        <v>0</v>
      </c>
      <c r="FA26" s="7">
        <v>0</v>
      </c>
      <c r="FB26" s="12" t="s">
        <v>45</v>
      </c>
      <c r="FC26" s="12">
        <v>0</v>
      </c>
      <c r="FD26" s="12">
        <v>1</v>
      </c>
      <c r="FE26" s="12"/>
      <c r="FF26" s="30" t="s">
        <v>45</v>
      </c>
      <c r="FG26" s="3">
        <f>IF(FC26=1, FF26, IF(FD26=1, 44348, DJ26))</f>
        <v>44348</v>
      </c>
      <c r="FH26" s="13">
        <f>(FG26-I26)/365.25*12</f>
        <v>87.523613963039011</v>
      </c>
      <c r="FI26" s="13"/>
      <c r="FJ26" s="14">
        <f>IF(OR(DM26,FC26), 1, 0)</f>
        <v>0</v>
      </c>
      <c r="FK26" s="11">
        <f>IF(DM26=1,IF(FC26=1,MIN(DO26,FF26),DO26),IF(FC26=1,FF26,DJ26))</f>
        <v>42704</v>
      </c>
      <c r="FL26" s="13">
        <f>(FK26-$I26)/365.25*12</f>
        <v>33.511293634496923</v>
      </c>
      <c r="FM26" s="14">
        <f>IF(OR(ED26,FC26), 1, 0)</f>
        <v>0</v>
      </c>
      <c r="FN26" s="11">
        <f>IF(ED26=1,IF(FC26=1,MIN(EE26,FF26),EE26),IF(FC26=1,FF26,DJ26))</f>
        <v>42704</v>
      </c>
      <c r="FO26" s="13">
        <f>(FN26-$I26)/365.25*12</f>
        <v>33.511293634496923</v>
      </c>
      <c r="FP26" s="14">
        <f>IF(OR(EI26,FC26), 1, 0)</f>
        <v>0</v>
      </c>
      <c r="FQ26" s="11">
        <f>IF(EI26=1,IF(FC26=1,MIN(EK26,FF26),EK26),IF(FC26=1,FF26,DJ26))</f>
        <v>42704</v>
      </c>
      <c r="FR26" s="13">
        <f>(FQ26-$I26)/365.25*12</f>
        <v>33.511293634496923</v>
      </c>
      <c r="FS26" s="12"/>
      <c r="FT26" s="12"/>
      <c r="FU26" s="12">
        <v>0</v>
      </c>
      <c r="FV26" s="12">
        <v>0</v>
      </c>
      <c r="FW26" s="12">
        <v>0</v>
      </c>
      <c r="FX26" s="12">
        <v>0</v>
      </c>
      <c r="FY26" s="12" t="s">
        <v>2101</v>
      </c>
      <c r="FZ26" s="12"/>
    </row>
    <row r="27" spans="1:182" ht="12.75" hidden="1" customHeight="1">
      <c r="A27" s="1" t="s">
        <v>2100</v>
      </c>
      <c r="B27" s="12" t="s">
        <v>2099</v>
      </c>
      <c r="C27" s="12">
        <v>45926004</v>
      </c>
      <c r="D27" s="12">
        <v>0</v>
      </c>
      <c r="E27" s="12">
        <v>0</v>
      </c>
      <c r="F27" s="12">
        <v>0</v>
      </c>
      <c r="G27" s="12">
        <v>1</v>
      </c>
      <c r="H27" s="21"/>
      <c r="I27" s="11">
        <v>41870</v>
      </c>
      <c r="J27" s="11">
        <v>41850</v>
      </c>
      <c r="K27" s="11">
        <v>23169</v>
      </c>
      <c r="L27" s="20">
        <f>(DAYS360(K27,I27))/365</f>
        <v>50.4986301369863</v>
      </c>
      <c r="M27" s="12" t="s">
        <v>370</v>
      </c>
      <c r="N27" s="12">
        <v>1</v>
      </c>
      <c r="O27" s="12">
        <v>0</v>
      </c>
      <c r="P27" s="12" t="s">
        <v>423</v>
      </c>
      <c r="Q27" s="12">
        <v>1</v>
      </c>
      <c r="R27" s="12" t="s">
        <v>466</v>
      </c>
      <c r="S27" s="12" t="s">
        <v>2098</v>
      </c>
      <c r="T27" s="12" t="s">
        <v>432</v>
      </c>
      <c r="U27" s="12">
        <v>0</v>
      </c>
      <c r="V27" s="12">
        <v>1</v>
      </c>
      <c r="W27" s="12">
        <v>1</v>
      </c>
      <c r="X27" s="12"/>
      <c r="Y27" s="12">
        <v>3</v>
      </c>
      <c r="Z27" s="12">
        <v>1</v>
      </c>
      <c r="AA27" s="12" t="s">
        <v>96</v>
      </c>
      <c r="AB27" s="12" t="s">
        <v>365</v>
      </c>
      <c r="AC27" s="12">
        <v>5</v>
      </c>
      <c r="AD27" s="12" t="s">
        <v>2097</v>
      </c>
      <c r="AE27" s="12"/>
      <c r="AF27" s="12">
        <v>1</v>
      </c>
      <c r="AG27" s="12">
        <v>1</v>
      </c>
      <c r="AH27" s="12">
        <v>1</v>
      </c>
      <c r="AI27" s="11">
        <v>41870</v>
      </c>
      <c r="AJ27" s="11">
        <v>41907</v>
      </c>
      <c r="AK27" s="19" t="s">
        <v>2096</v>
      </c>
      <c r="AL27" s="19" t="s">
        <v>499</v>
      </c>
      <c r="AM27" s="12">
        <v>1</v>
      </c>
      <c r="AN27" s="12">
        <v>1</v>
      </c>
      <c r="AO27" s="12">
        <v>1</v>
      </c>
      <c r="AP27" s="12">
        <v>0</v>
      </c>
      <c r="AQ27" s="12">
        <v>0</v>
      </c>
      <c r="AR27" s="12">
        <v>0</v>
      </c>
      <c r="AS27" s="12">
        <f>IF(AND(AM27=0,AU27&lt;=2), 1, 0)</f>
        <v>0</v>
      </c>
      <c r="AT27" s="12">
        <v>0</v>
      </c>
      <c r="AU27" s="12">
        <v>2</v>
      </c>
      <c r="AV27" s="19">
        <v>0.5</v>
      </c>
      <c r="AW27" s="19"/>
      <c r="AX27" s="19" t="s">
        <v>357</v>
      </c>
      <c r="AY27" s="19" t="s">
        <v>357</v>
      </c>
      <c r="AZ27" s="19" t="s">
        <v>1697</v>
      </c>
      <c r="BA27" s="12">
        <f>1.5+3.6+0.3</f>
        <v>5.3999999999999995</v>
      </c>
      <c r="BB27" s="12">
        <v>224.1</v>
      </c>
      <c r="BC27" s="12">
        <f>7.2-1.8+0.3</f>
        <v>5.7</v>
      </c>
      <c r="BD27" s="12">
        <v>2</v>
      </c>
      <c r="BE27" s="12">
        <v>531.1</v>
      </c>
      <c r="BF27" s="12" t="s">
        <v>2083</v>
      </c>
      <c r="BG27" s="12">
        <v>45</v>
      </c>
      <c r="BH27" s="12">
        <v>45</v>
      </c>
      <c r="BI27" s="12">
        <v>0</v>
      </c>
      <c r="BJ27" s="12">
        <v>0</v>
      </c>
      <c r="BK27" s="12">
        <f>BH27+BI27</f>
        <v>45</v>
      </c>
      <c r="BL27" s="12">
        <v>25</v>
      </c>
      <c r="BM27" s="12">
        <v>1.8</v>
      </c>
      <c r="BN27" s="12" t="s">
        <v>608</v>
      </c>
      <c r="BO27" s="12">
        <v>1</v>
      </c>
      <c r="BP27" s="12">
        <v>1</v>
      </c>
      <c r="BQ27" s="12">
        <v>1</v>
      </c>
      <c r="BR27" s="11">
        <v>41870</v>
      </c>
      <c r="BS27" s="12" t="s">
        <v>1560</v>
      </c>
      <c r="BT27" s="12" t="s">
        <v>1559</v>
      </c>
      <c r="BU27" s="12">
        <v>4</v>
      </c>
      <c r="BV27" s="12">
        <v>0</v>
      </c>
      <c r="BW27" s="12">
        <v>6.56</v>
      </c>
      <c r="BX27" s="12">
        <v>0.435</v>
      </c>
      <c r="BY27" s="12">
        <v>0.40300000000000002</v>
      </c>
      <c r="BZ27" s="12">
        <v>14.2</v>
      </c>
      <c r="CA27" s="12">
        <v>319</v>
      </c>
      <c r="CB27" s="12">
        <v>1.8</v>
      </c>
      <c r="CC27" s="12"/>
      <c r="CD27" s="12">
        <v>9.9</v>
      </c>
      <c r="CE27" s="12">
        <v>1</v>
      </c>
      <c r="CF27" s="11">
        <v>41956</v>
      </c>
      <c r="CG27" s="7">
        <f>CF27-AJ27</f>
        <v>49</v>
      </c>
      <c r="CH27" s="12" t="s">
        <v>2095</v>
      </c>
      <c r="CI27" s="12" t="s">
        <v>730</v>
      </c>
      <c r="CJ27" s="17" t="s">
        <v>182</v>
      </c>
      <c r="CK27" s="12" t="s">
        <v>2094</v>
      </c>
      <c r="CL27" s="12" t="s">
        <v>716</v>
      </c>
      <c r="CM27" s="12">
        <v>0</v>
      </c>
      <c r="CN27" s="12"/>
      <c r="CO27" s="12" t="s">
        <v>1583</v>
      </c>
      <c r="CP27" s="12"/>
      <c r="CQ27" s="12" t="s">
        <v>2093</v>
      </c>
      <c r="CR27" s="12">
        <v>5.0999999999999996</v>
      </c>
      <c r="CS27" s="12" t="s">
        <v>1581</v>
      </c>
      <c r="CT27" s="12" t="s">
        <v>511</v>
      </c>
      <c r="CU27" s="12" t="s">
        <v>472</v>
      </c>
      <c r="CV27" s="17">
        <v>1</v>
      </c>
      <c r="CW27" s="12">
        <v>1</v>
      </c>
      <c r="CX27" s="12">
        <v>8.5</v>
      </c>
      <c r="CY27" s="12">
        <v>0</v>
      </c>
      <c r="CZ27" s="12">
        <v>2</v>
      </c>
      <c r="DA27" s="12">
        <v>33</v>
      </c>
      <c r="DB27" s="13">
        <f>CZ27/DA27*100</f>
        <v>6.0606060606060606</v>
      </c>
      <c r="DC27" s="12">
        <v>1</v>
      </c>
      <c r="DD27" s="12">
        <v>1</v>
      </c>
      <c r="DE27" s="12">
        <v>1</v>
      </c>
      <c r="DF27" s="12">
        <v>0</v>
      </c>
      <c r="DG27" s="12" t="s">
        <v>2092</v>
      </c>
      <c r="DH27" s="16">
        <v>0</v>
      </c>
      <c r="DI27" s="16">
        <v>0</v>
      </c>
      <c r="DJ27" s="11">
        <v>42117</v>
      </c>
      <c r="DK27" s="11" t="s">
        <v>2091</v>
      </c>
      <c r="DL27" s="12">
        <f>(DJ27-I27)/365.25*12</f>
        <v>8.1149897330595486</v>
      </c>
      <c r="DM27" s="12">
        <v>1</v>
      </c>
      <c r="DN27" s="12" t="s">
        <v>2090</v>
      </c>
      <c r="DO27" s="11">
        <v>42108</v>
      </c>
      <c r="DP27" s="19" t="s">
        <v>357</v>
      </c>
      <c r="DQ27" s="16">
        <v>1</v>
      </c>
      <c r="DR27" s="11">
        <v>42108</v>
      </c>
      <c r="DS27" s="10">
        <f>IF(DQ27=1, (DR27-$I27)/365.25*12, IF(DQ27=0, $DL27, "ERROR"))</f>
        <v>7.8193018480492817</v>
      </c>
      <c r="DT27" s="16">
        <v>1</v>
      </c>
      <c r="DU27" s="16">
        <v>1</v>
      </c>
      <c r="DV27" s="16">
        <v>0</v>
      </c>
      <c r="DW27" s="16">
        <f>DU27*(1-DV27)</f>
        <v>1</v>
      </c>
      <c r="DX27" s="16">
        <f>(1-DU27)*DV27</f>
        <v>0</v>
      </c>
      <c r="DY27" s="16">
        <f>DU27*DV27</f>
        <v>0</v>
      </c>
      <c r="DZ27" s="11">
        <v>42108</v>
      </c>
      <c r="EA27" s="10">
        <f>IF(DT27=1, (DZ27-$I27)/365.25*12, IF(DT27=0, $DL27, "ERROR"))</f>
        <v>7.8193018480492817</v>
      </c>
      <c r="EB27" s="16">
        <v>1</v>
      </c>
      <c r="EC27" s="16">
        <v>0</v>
      </c>
      <c r="ED27" s="16">
        <f>1-((1-DQ27)*(1-DT27))</f>
        <v>1</v>
      </c>
      <c r="EE27" s="11">
        <f>MIN(DR27,DZ27)</f>
        <v>42108</v>
      </c>
      <c r="EF27" s="12" t="s">
        <v>357</v>
      </c>
      <c r="EG27" s="16" t="s">
        <v>357</v>
      </c>
      <c r="EH27" s="12" t="s">
        <v>357</v>
      </c>
      <c r="EI27" s="12">
        <v>1</v>
      </c>
      <c r="EJ27" s="16">
        <f>(1-DQ27)*DX27*(1-EI27)</f>
        <v>0</v>
      </c>
      <c r="EK27" s="11">
        <v>42108</v>
      </c>
      <c r="EL27" s="10">
        <f>IF(EI27=1, (EK27-$I27)/365.25*12, IF(EI27=0, $DL27, "ERROR"))</f>
        <v>7.8193018480492817</v>
      </c>
      <c r="EM27" s="12" t="s">
        <v>337</v>
      </c>
      <c r="EN27" s="16">
        <v>1</v>
      </c>
      <c r="EO27" s="16">
        <v>0</v>
      </c>
      <c r="EP27" s="16">
        <v>0</v>
      </c>
      <c r="EQ27" s="16">
        <v>0</v>
      </c>
      <c r="ER27" s="16">
        <v>0</v>
      </c>
      <c r="ES27" s="16">
        <v>0</v>
      </c>
      <c r="ET27" s="16">
        <v>0</v>
      </c>
      <c r="EU27" s="16">
        <v>0</v>
      </c>
      <c r="EV27" s="16">
        <v>0</v>
      </c>
      <c r="EW27" s="1">
        <f>1-((1-EP27)*(1-ET27)*(1-EU27)*(1-EV27))</f>
        <v>0</v>
      </c>
      <c r="EX27" s="16">
        <v>0</v>
      </c>
      <c r="EY27" s="7">
        <v>0</v>
      </c>
      <c r="EZ27" s="7">
        <v>0</v>
      </c>
      <c r="FA27" s="7">
        <v>0</v>
      </c>
      <c r="FB27" s="12" t="s">
        <v>45</v>
      </c>
      <c r="FC27" s="12">
        <v>1</v>
      </c>
      <c r="FD27" s="12">
        <v>1</v>
      </c>
      <c r="FE27" s="12"/>
      <c r="FF27" s="18">
        <v>42126</v>
      </c>
      <c r="FG27" s="3">
        <f>IF(FC27=1, FF27, IF(FD27=1, 44348, DJ27))</f>
        <v>42126</v>
      </c>
      <c r="FH27" s="13">
        <f>(FG27-I27)/365.25*12</f>
        <v>8.4106776180698155</v>
      </c>
      <c r="FI27" s="13"/>
      <c r="FJ27" s="14">
        <f>IF(OR(DM27,FC27), 1, 0)</f>
        <v>1</v>
      </c>
      <c r="FK27" s="11">
        <f>IF(DM27=1,IF(FC27=1,MIN(DO27,FF27),DO27),IF(FC27=1,FF27,DJ27))</f>
        <v>42108</v>
      </c>
      <c r="FL27" s="13">
        <f>(FK27-$I27)/365.25*12</f>
        <v>7.8193018480492817</v>
      </c>
      <c r="FM27" s="14">
        <f>IF(OR(ED27,FC27), 1, 0)</f>
        <v>1</v>
      </c>
      <c r="FN27" s="11">
        <f>IF(ED27=1,IF(FC27=1,MIN(EE27,FF27),EE27),IF(FC27=1,FF27,DJ27))</f>
        <v>42108</v>
      </c>
      <c r="FO27" s="13">
        <f>(FN27-$I27)/365.25*12</f>
        <v>7.8193018480492817</v>
      </c>
      <c r="FP27" s="14">
        <f>IF(OR(EI27,FC27), 1, 0)</f>
        <v>1</v>
      </c>
      <c r="FQ27" s="11">
        <f>IF(EI27=1,IF(FC27=1,MIN(EK27,FF27),EK27),IF(FC27=1,FF27,DJ27))</f>
        <v>42108</v>
      </c>
      <c r="FR27" s="13">
        <f>(FQ27-$I27)/365.25*12</f>
        <v>7.8193018480492817</v>
      </c>
      <c r="FS27" s="12"/>
      <c r="FT27" s="12"/>
      <c r="FU27" s="12">
        <v>1</v>
      </c>
      <c r="FV27" s="12">
        <v>1</v>
      </c>
      <c r="FW27" s="12">
        <v>0</v>
      </c>
      <c r="FX27" s="12">
        <v>0</v>
      </c>
      <c r="FY27" s="12"/>
      <c r="FZ27" s="12"/>
    </row>
    <row r="28" spans="1:182" ht="12.75" hidden="1" customHeight="1">
      <c r="A28" s="1" t="s">
        <v>2089</v>
      </c>
      <c r="B28" s="12" t="s">
        <v>2088</v>
      </c>
      <c r="C28" s="12">
        <v>46149646</v>
      </c>
      <c r="D28" s="12">
        <v>0</v>
      </c>
      <c r="E28" s="12">
        <v>0</v>
      </c>
      <c r="F28" s="12">
        <v>0</v>
      </c>
      <c r="G28" s="12">
        <v>1</v>
      </c>
      <c r="H28" s="21"/>
      <c r="I28" s="11">
        <v>41935</v>
      </c>
      <c r="J28" s="11">
        <v>41912</v>
      </c>
      <c r="K28" s="11">
        <v>21676</v>
      </c>
      <c r="L28" s="20">
        <f>(DAYS360(K28,I28))/365</f>
        <v>54.704109589041096</v>
      </c>
      <c r="M28" s="12" t="s">
        <v>370</v>
      </c>
      <c r="N28" s="12">
        <v>1</v>
      </c>
      <c r="O28" s="12">
        <v>0</v>
      </c>
      <c r="P28" s="12" t="s">
        <v>423</v>
      </c>
      <c r="Q28" s="12">
        <v>1</v>
      </c>
      <c r="R28" s="12" t="s">
        <v>466</v>
      </c>
      <c r="S28" s="12" t="s">
        <v>2087</v>
      </c>
      <c r="T28" s="12" t="s">
        <v>2086</v>
      </c>
      <c r="U28" s="12">
        <v>1</v>
      </c>
      <c r="V28" s="12">
        <v>1</v>
      </c>
      <c r="W28" s="12">
        <v>0</v>
      </c>
      <c r="X28" s="12" t="s">
        <v>1627</v>
      </c>
      <c r="Y28" s="12">
        <v>3</v>
      </c>
      <c r="Z28" s="12">
        <v>2</v>
      </c>
      <c r="AA28" s="12" t="s">
        <v>366</v>
      </c>
      <c r="AB28" s="12" t="s">
        <v>365</v>
      </c>
      <c r="AC28" s="12">
        <v>3</v>
      </c>
      <c r="AD28" s="12" t="s">
        <v>2085</v>
      </c>
      <c r="AE28" s="12"/>
      <c r="AF28" s="12">
        <v>0</v>
      </c>
      <c r="AG28" s="12">
        <v>0</v>
      </c>
      <c r="AH28" s="12">
        <v>0</v>
      </c>
      <c r="AI28" s="11">
        <v>41935</v>
      </c>
      <c r="AJ28" s="11">
        <v>41970</v>
      </c>
      <c r="AK28" s="19" t="s">
        <v>2084</v>
      </c>
      <c r="AL28" s="19" t="s">
        <v>499</v>
      </c>
      <c r="AM28" s="12">
        <v>1</v>
      </c>
      <c r="AN28" s="12">
        <v>0</v>
      </c>
      <c r="AO28" s="12">
        <v>1</v>
      </c>
      <c r="AP28" s="12">
        <v>0</v>
      </c>
      <c r="AQ28" s="12">
        <v>0</v>
      </c>
      <c r="AR28" s="12">
        <v>0</v>
      </c>
      <c r="AS28" s="12">
        <v>0</v>
      </c>
      <c r="AT28" s="12">
        <v>0</v>
      </c>
      <c r="AU28" s="19" t="s">
        <v>1589</v>
      </c>
      <c r="AV28" s="19">
        <v>0.5</v>
      </c>
      <c r="AW28" s="19"/>
      <c r="AX28" s="19" t="s">
        <v>357</v>
      </c>
      <c r="AY28" s="19" t="s">
        <v>357</v>
      </c>
      <c r="AZ28" s="19" t="s">
        <v>1697</v>
      </c>
      <c r="BA28" s="12">
        <f>2.7+4.2+0.3</f>
        <v>7.2</v>
      </c>
      <c r="BB28" s="12">
        <v>283.3</v>
      </c>
      <c r="BC28" s="12">
        <v>2</v>
      </c>
      <c r="BD28" s="12">
        <f>8.7-4.5+0.3</f>
        <v>4.4999999999999991</v>
      </c>
      <c r="BE28" s="12">
        <v>575.1</v>
      </c>
      <c r="BF28" s="12" t="s">
        <v>2083</v>
      </c>
      <c r="BG28" s="12">
        <v>45</v>
      </c>
      <c r="BH28" s="12">
        <v>45</v>
      </c>
      <c r="BI28" s="12">
        <v>0</v>
      </c>
      <c r="BJ28" s="12">
        <v>0</v>
      </c>
      <c r="BK28" s="12">
        <f>BH28+BI28</f>
        <v>45</v>
      </c>
      <c r="BL28" s="12">
        <v>25</v>
      </c>
      <c r="BM28" s="12">
        <v>1.8</v>
      </c>
      <c r="BN28" s="12" t="s">
        <v>608</v>
      </c>
      <c r="BO28" s="12">
        <v>1</v>
      </c>
      <c r="BP28" s="12">
        <v>1</v>
      </c>
      <c r="BQ28" s="12">
        <v>1</v>
      </c>
      <c r="BR28" s="11">
        <v>41935</v>
      </c>
      <c r="BS28" s="12" t="s">
        <v>1560</v>
      </c>
      <c r="BT28" s="12" t="s">
        <v>1559</v>
      </c>
      <c r="BU28" s="12">
        <v>5</v>
      </c>
      <c r="BV28" s="12">
        <v>1</v>
      </c>
      <c r="BW28" s="12">
        <v>16.829999999999998</v>
      </c>
      <c r="BX28" s="12">
        <v>0.89600000000000002</v>
      </c>
      <c r="BY28" s="12">
        <v>5.5E-2</v>
      </c>
      <c r="BZ28" s="12">
        <v>14.7</v>
      </c>
      <c r="CA28" s="12">
        <v>245</v>
      </c>
      <c r="CB28" s="12">
        <v>1.76</v>
      </c>
      <c r="CC28" s="12">
        <v>30.6</v>
      </c>
      <c r="CD28" s="12">
        <v>8.8000000000000007</v>
      </c>
      <c r="CE28" s="12">
        <v>1</v>
      </c>
      <c r="CF28" s="11">
        <v>42012</v>
      </c>
      <c r="CG28" s="7">
        <f>CF28-AJ28</f>
        <v>42</v>
      </c>
      <c r="CH28" s="12" t="s">
        <v>497</v>
      </c>
      <c r="CI28" s="12" t="s">
        <v>183</v>
      </c>
      <c r="CJ28" s="17" t="s">
        <v>515</v>
      </c>
      <c r="CK28" s="12" t="s">
        <v>1720</v>
      </c>
      <c r="CL28" s="12" t="s">
        <v>1584</v>
      </c>
      <c r="CM28" s="12">
        <v>0</v>
      </c>
      <c r="CN28" s="12"/>
      <c r="CO28" s="17" t="s">
        <v>1600</v>
      </c>
      <c r="CP28" s="17"/>
      <c r="CQ28" s="17" t="s">
        <v>2082</v>
      </c>
      <c r="CR28" s="17">
        <v>0.1</v>
      </c>
      <c r="CS28" s="12" t="s">
        <v>1581</v>
      </c>
      <c r="CT28" s="12" t="s">
        <v>473</v>
      </c>
      <c r="CU28" s="12" t="s">
        <v>454</v>
      </c>
      <c r="CV28" s="17">
        <v>0</v>
      </c>
      <c r="CW28" s="12" t="s">
        <v>357</v>
      </c>
      <c r="CX28" s="12" t="s">
        <v>357</v>
      </c>
      <c r="CY28" s="12" t="s">
        <v>357</v>
      </c>
      <c r="CZ28" s="12">
        <v>0</v>
      </c>
      <c r="DA28" s="12">
        <v>56</v>
      </c>
      <c r="DB28" s="13">
        <f>CZ28/DA28*100</f>
        <v>0</v>
      </c>
      <c r="DC28" s="12">
        <v>0</v>
      </c>
      <c r="DD28" s="12">
        <v>0</v>
      </c>
      <c r="DE28" s="12">
        <v>0</v>
      </c>
      <c r="DF28" s="12">
        <v>0</v>
      </c>
      <c r="DG28" s="12" t="s">
        <v>2081</v>
      </c>
      <c r="DH28" s="16">
        <v>0</v>
      </c>
      <c r="DI28" s="16">
        <v>0</v>
      </c>
      <c r="DJ28" s="11">
        <v>44258</v>
      </c>
      <c r="DK28" s="11" t="s">
        <v>75</v>
      </c>
      <c r="DL28" s="12">
        <f>(DJ28-I28)/365.25*12</f>
        <v>76.320328542094444</v>
      </c>
      <c r="DM28" s="12">
        <v>0</v>
      </c>
      <c r="DN28" s="12" t="s">
        <v>357</v>
      </c>
      <c r="DO28" s="12" t="s">
        <v>357</v>
      </c>
      <c r="DP28" s="19" t="s">
        <v>357</v>
      </c>
      <c r="DQ28" s="16">
        <v>0</v>
      </c>
      <c r="DR28" s="11" t="s">
        <v>45</v>
      </c>
      <c r="DS28" s="10">
        <f>IF(DQ28=1, (DR28-$I28)/365.25*12, IF(DQ28=0, $DL28, "ERROR"))</f>
        <v>76.320328542094444</v>
      </c>
      <c r="DT28" s="16">
        <v>0</v>
      </c>
      <c r="DU28" s="16">
        <v>0</v>
      </c>
      <c r="DV28" s="16">
        <v>0</v>
      </c>
      <c r="DW28" s="16">
        <f>DU28*(1-DV28)</f>
        <v>0</v>
      </c>
      <c r="DX28" s="16">
        <f>(1-DU28)*DV28</f>
        <v>0</v>
      </c>
      <c r="DY28" s="16">
        <f>DU28*DV28</f>
        <v>0</v>
      </c>
      <c r="DZ28" s="11" t="s">
        <v>45</v>
      </c>
      <c r="EA28" s="10">
        <f>IF(DT28=1, (DZ28-$I28)/365.25*12, IF(DT28=0, $DL28, "ERROR"))</f>
        <v>76.320328542094444</v>
      </c>
      <c r="EB28" s="16">
        <v>0</v>
      </c>
      <c r="EC28" s="16">
        <v>0</v>
      </c>
      <c r="ED28" s="16">
        <f>1-((1-DQ28)*(1-DT28))</f>
        <v>0</v>
      </c>
      <c r="EE28" s="11" t="s">
        <v>45</v>
      </c>
      <c r="EF28" s="12" t="s">
        <v>357</v>
      </c>
      <c r="EG28" s="16" t="s">
        <v>357</v>
      </c>
      <c r="EH28" s="12" t="s">
        <v>357</v>
      </c>
      <c r="EI28" s="12">
        <v>0</v>
      </c>
      <c r="EJ28" s="16">
        <f>(1-DQ28)*DX28*(1-EI28)</f>
        <v>0</v>
      </c>
      <c r="EK28" s="12" t="s">
        <v>45</v>
      </c>
      <c r="EL28" s="10">
        <f>IF(EI28=1, (EK28-$I28)/365.25*12, IF(EI28=0, $DL28, "ERROR"))</f>
        <v>76.320328542094444</v>
      </c>
      <c r="EM28" s="12" t="s">
        <v>45</v>
      </c>
      <c r="EN28" s="1">
        <v>0</v>
      </c>
      <c r="EO28" s="1">
        <v>0</v>
      </c>
      <c r="EP28" s="1">
        <v>0</v>
      </c>
      <c r="EQ28" s="1">
        <v>0</v>
      </c>
      <c r="ER28" s="1">
        <v>0</v>
      </c>
      <c r="ES28" s="1">
        <v>0</v>
      </c>
      <c r="ET28" s="1">
        <v>0</v>
      </c>
      <c r="EU28" s="1">
        <v>0</v>
      </c>
      <c r="EV28" s="1">
        <v>0</v>
      </c>
      <c r="EW28" s="1">
        <f>1-((1-EP28)*(1-ET28)*(1-EU28)*(1-EV28))</f>
        <v>0</v>
      </c>
      <c r="EX28" s="16">
        <v>0</v>
      </c>
      <c r="EY28" s="7">
        <v>0</v>
      </c>
      <c r="EZ28" s="7">
        <v>0</v>
      </c>
      <c r="FA28" s="7">
        <v>0</v>
      </c>
      <c r="FB28" s="12" t="s">
        <v>45</v>
      </c>
      <c r="FC28" s="12">
        <v>0</v>
      </c>
      <c r="FD28" s="12">
        <v>1</v>
      </c>
      <c r="FE28" s="12"/>
      <c r="FF28" s="30" t="s">
        <v>45</v>
      </c>
      <c r="FG28" s="3">
        <f>IF(FC28=1, FF28, IF(FD28=1, 44348, DJ28))</f>
        <v>44348</v>
      </c>
      <c r="FH28" s="13">
        <f>(FG28-I28)/365.25*12</f>
        <v>79.277207392197127</v>
      </c>
      <c r="FI28" s="13"/>
      <c r="FJ28" s="14">
        <f>IF(OR(DM28,FC28), 1, 0)</f>
        <v>0</v>
      </c>
      <c r="FK28" s="11">
        <f>IF(DM28=1,IF(FC28=1,MIN(DO28,FF28),DO28),IF(FC28=1,FF28,DJ28))</f>
        <v>44258</v>
      </c>
      <c r="FL28" s="13">
        <f>(FK28-$I28)/365.25*12</f>
        <v>76.320328542094444</v>
      </c>
      <c r="FM28" s="14">
        <f>IF(OR(ED28,FC28), 1, 0)</f>
        <v>0</v>
      </c>
      <c r="FN28" s="11">
        <f>IF(ED28=1,IF(FC28=1,MIN(EE28,FF28),EE28),IF(FC28=1,FF28,DJ28))</f>
        <v>44258</v>
      </c>
      <c r="FO28" s="13">
        <f>(FN28-$I28)/365.25*12</f>
        <v>76.320328542094444</v>
      </c>
      <c r="FP28" s="14">
        <f>IF(OR(EI28,FC28), 1, 0)</f>
        <v>0</v>
      </c>
      <c r="FQ28" s="11">
        <f>IF(EI28=1,IF(FC28=1,MIN(EK28,FF28),EK28),IF(FC28=1,FF28,DJ28))</f>
        <v>44258</v>
      </c>
      <c r="FR28" s="13">
        <f>(FQ28-$I28)/365.25*12</f>
        <v>76.320328542094444</v>
      </c>
      <c r="FS28" s="12"/>
      <c r="FT28" s="12"/>
      <c r="FU28" s="12">
        <v>1</v>
      </c>
      <c r="FV28" s="12">
        <v>1</v>
      </c>
      <c r="FW28" s="12">
        <v>0</v>
      </c>
      <c r="FX28" s="12">
        <v>0</v>
      </c>
      <c r="FY28" s="12" t="s">
        <v>2080</v>
      </c>
      <c r="FZ28" s="12"/>
    </row>
    <row r="29" spans="1:182" ht="12.75" hidden="1" customHeight="1">
      <c r="A29" s="1" t="s">
        <v>2079</v>
      </c>
      <c r="B29" s="12" t="s">
        <v>2078</v>
      </c>
      <c r="C29" s="12">
        <v>39794884</v>
      </c>
      <c r="D29" s="12">
        <v>0</v>
      </c>
      <c r="E29" s="12">
        <v>0</v>
      </c>
      <c r="F29" s="12">
        <v>0</v>
      </c>
      <c r="G29" s="12">
        <v>1</v>
      </c>
      <c r="H29" s="21"/>
      <c r="I29" s="11">
        <v>40182</v>
      </c>
      <c r="J29" s="11">
        <v>40164</v>
      </c>
      <c r="K29" s="11">
        <v>15245</v>
      </c>
      <c r="L29" s="20">
        <f>(DAYS360(K29,I29))/365</f>
        <v>67.336986301369862</v>
      </c>
      <c r="M29" s="12" t="s">
        <v>370</v>
      </c>
      <c r="N29" s="12">
        <v>1</v>
      </c>
      <c r="O29" s="12">
        <v>0</v>
      </c>
      <c r="P29" s="12" t="s">
        <v>447</v>
      </c>
      <c r="Q29" s="12">
        <v>0</v>
      </c>
      <c r="R29" s="12" t="s">
        <v>466</v>
      </c>
      <c r="S29" s="12" t="s">
        <v>2077</v>
      </c>
      <c r="T29" s="12" t="s">
        <v>368</v>
      </c>
      <c r="U29" s="12">
        <v>0</v>
      </c>
      <c r="V29" s="12">
        <v>0</v>
      </c>
      <c r="W29" s="12">
        <v>1</v>
      </c>
      <c r="X29" s="12" t="s">
        <v>2076</v>
      </c>
      <c r="Y29" s="12">
        <v>3</v>
      </c>
      <c r="Z29" s="12">
        <v>1</v>
      </c>
      <c r="AA29" s="12" t="s">
        <v>116</v>
      </c>
      <c r="AB29" s="12" t="s">
        <v>567</v>
      </c>
      <c r="AC29" s="12">
        <v>3</v>
      </c>
      <c r="AD29" s="12"/>
      <c r="AE29" s="12"/>
      <c r="AF29" s="12">
        <v>0</v>
      </c>
      <c r="AG29" s="12">
        <v>0</v>
      </c>
      <c r="AH29" s="12">
        <v>0</v>
      </c>
      <c r="AI29" s="11">
        <v>40182</v>
      </c>
      <c r="AJ29" s="11">
        <v>40219</v>
      </c>
      <c r="AK29" s="19" t="s">
        <v>2075</v>
      </c>
      <c r="AL29" s="19" t="s">
        <v>357</v>
      </c>
      <c r="AM29" s="12">
        <v>1</v>
      </c>
      <c r="AN29" s="12">
        <v>1</v>
      </c>
      <c r="AO29" s="12">
        <v>0</v>
      </c>
      <c r="AP29" s="12">
        <v>0</v>
      </c>
      <c r="AQ29" s="12">
        <v>0</v>
      </c>
      <c r="AR29" s="12">
        <v>0</v>
      </c>
      <c r="AS29" s="12">
        <f>IF(AND(AM29=0,AU29&lt;=2), 1, 0)</f>
        <v>0</v>
      </c>
      <c r="AT29" s="12">
        <v>0</v>
      </c>
      <c r="AU29" s="12">
        <v>3</v>
      </c>
      <c r="AV29" s="12">
        <v>1</v>
      </c>
      <c r="AW29" s="12"/>
      <c r="AX29" s="12">
        <v>1</v>
      </c>
      <c r="AY29" s="19" t="s">
        <v>357</v>
      </c>
      <c r="AZ29" s="12">
        <v>0.5</v>
      </c>
      <c r="BA29" s="12">
        <v>10</v>
      </c>
      <c r="BB29" s="12">
        <v>207.9</v>
      </c>
      <c r="BC29" s="12">
        <v>9.5</v>
      </c>
      <c r="BD29" s="12">
        <v>2</v>
      </c>
      <c r="BE29" s="12">
        <v>394.5</v>
      </c>
      <c r="BF29" s="12" t="s">
        <v>2074</v>
      </c>
      <c r="BG29" s="12" t="s">
        <v>360</v>
      </c>
      <c r="BH29" s="12">
        <v>45</v>
      </c>
      <c r="BI29" s="12">
        <v>5.4</v>
      </c>
      <c r="BJ29" s="12">
        <v>1</v>
      </c>
      <c r="BK29" s="12">
        <f>BH29+BI29</f>
        <v>50.4</v>
      </c>
      <c r="BL29" s="12">
        <v>28</v>
      </c>
      <c r="BM29" s="12">
        <v>1.8</v>
      </c>
      <c r="BN29" s="12" t="s">
        <v>359</v>
      </c>
      <c r="BO29" s="12">
        <v>0</v>
      </c>
      <c r="BP29" s="12">
        <v>1</v>
      </c>
      <c r="BQ29" s="12">
        <v>1</v>
      </c>
      <c r="BR29" s="11">
        <v>40182</v>
      </c>
      <c r="BS29" s="12" t="s">
        <v>78</v>
      </c>
      <c r="BT29" s="12" t="s">
        <v>77</v>
      </c>
      <c r="BU29" s="12">
        <v>6</v>
      </c>
      <c r="BV29" s="12">
        <v>1</v>
      </c>
      <c r="BW29" s="12">
        <v>10.3</v>
      </c>
      <c r="BX29" s="12">
        <v>0.51</v>
      </c>
      <c r="BY29" s="12">
        <v>0.21</v>
      </c>
      <c r="BZ29" s="12">
        <v>14.5</v>
      </c>
      <c r="CA29" s="12">
        <v>219</v>
      </c>
      <c r="CB29" s="12">
        <v>1.7</v>
      </c>
      <c r="CC29" s="12">
        <v>12.43</v>
      </c>
      <c r="CD29" s="12">
        <v>7.5</v>
      </c>
      <c r="CE29" s="12">
        <v>1</v>
      </c>
      <c r="CF29" s="11">
        <v>40274</v>
      </c>
      <c r="CG29" s="7">
        <f>CF29-AJ29</f>
        <v>55</v>
      </c>
      <c r="CH29" s="17" t="s">
        <v>461</v>
      </c>
      <c r="CI29" s="17" t="s">
        <v>460</v>
      </c>
      <c r="CJ29" s="17" t="s">
        <v>182</v>
      </c>
      <c r="CK29" s="12" t="s">
        <v>2073</v>
      </c>
      <c r="CL29" s="12" t="s">
        <v>968</v>
      </c>
      <c r="CM29" s="12">
        <v>0</v>
      </c>
      <c r="CN29" s="12"/>
      <c r="CO29" s="12" t="s">
        <v>357</v>
      </c>
      <c r="CP29" s="12"/>
      <c r="CQ29" s="17" t="s">
        <v>2072</v>
      </c>
      <c r="CR29" s="17">
        <v>0.1</v>
      </c>
      <c r="CS29" s="12" t="s">
        <v>1547</v>
      </c>
      <c r="CT29" s="12" t="s">
        <v>357</v>
      </c>
      <c r="CU29" s="12" t="s">
        <v>454</v>
      </c>
      <c r="CV29" s="17">
        <v>0</v>
      </c>
      <c r="CW29" s="12">
        <v>4.5</v>
      </c>
      <c r="CX29" s="12">
        <v>8.5</v>
      </c>
      <c r="CY29" s="12">
        <v>0.5</v>
      </c>
      <c r="CZ29" s="12">
        <v>2</v>
      </c>
      <c r="DA29" s="12">
        <v>79</v>
      </c>
      <c r="DB29" s="13">
        <f>CZ29/DA29*100</f>
        <v>2.5316455696202533</v>
      </c>
      <c r="DC29" s="12">
        <v>0</v>
      </c>
      <c r="DD29" s="12">
        <v>0</v>
      </c>
      <c r="DE29" s="12">
        <v>0</v>
      </c>
      <c r="DF29" s="12">
        <v>0</v>
      </c>
      <c r="DG29" s="12" t="s">
        <v>2071</v>
      </c>
      <c r="DH29" s="16">
        <v>0</v>
      </c>
      <c r="DI29" s="16">
        <v>0</v>
      </c>
      <c r="DJ29" s="11">
        <v>40785</v>
      </c>
      <c r="DK29" s="11" t="s">
        <v>2070</v>
      </c>
      <c r="DL29" s="12">
        <f>(DJ29-I29)/365.25*12</f>
        <v>19.811088295687885</v>
      </c>
      <c r="DM29" s="12">
        <v>1</v>
      </c>
      <c r="DN29" s="12" t="s">
        <v>2069</v>
      </c>
      <c r="DO29" s="11">
        <v>40379</v>
      </c>
      <c r="DP29" s="19"/>
      <c r="DQ29" s="16">
        <v>0</v>
      </c>
      <c r="DR29" s="11" t="s">
        <v>45</v>
      </c>
      <c r="DS29" s="10">
        <f>IF(DQ29=1, (DR29-$I29)/365.25*12, IF(DQ29=0, $DL29, "ERROR"))</f>
        <v>19.811088295687885</v>
      </c>
      <c r="DT29" s="16">
        <v>1</v>
      </c>
      <c r="DU29" s="16">
        <v>0</v>
      </c>
      <c r="DV29" s="16">
        <v>1</v>
      </c>
      <c r="DW29" s="16">
        <f>DU29*(1-DV29)</f>
        <v>0</v>
      </c>
      <c r="DX29" s="16">
        <f>(1-DU29)*DV29</f>
        <v>1</v>
      </c>
      <c r="DY29" s="16">
        <f>DU29*DV29</f>
        <v>0</v>
      </c>
      <c r="DZ29" s="11">
        <v>40616</v>
      </c>
      <c r="EA29" s="10">
        <f>IF(DT29=1, (DZ29-$I29)/365.25*12, IF(DT29=0, $DL29, "ERROR"))</f>
        <v>14.258726899383984</v>
      </c>
      <c r="EB29" s="16">
        <v>1</v>
      </c>
      <c r="EC29" s="16">
        <v>0</v>
      </c>
      <c r="ED29" s="16">
        <f>1-((1-DQ29)*(1-DT29))</f>
        <v>1</v>
      </c>
      <c r="EE29" s="11">
        <f>MIN(DR29,DZ29)</f>
        <v>40616</v>
      </c>
      <c r="EF29" s="11" t="s">
        <v>2068</v>
      </c>
      <c r="EG29" s="16">
        <v>1</v>
      </c>
      <c r="EH29" s="11" t="s">
        <v>45</v>
      </c>
      <c r="EI29" s="12">
        <v>1</v>
      </c>
      <c r="EJ29" s="16">
        <f>(1-DQ29)*DX29*(1-EI29)</f>
        <v>0</v>
      </c>
      <c r="EK29" s="11">
        <v>40379</v>
      </c>
      <c r="EL29" s="10">
        <f>IF(EI29=1, (EK29-$I29)/365.25*12, IF(EI29=0, $DL29, "ERROR"))</f>
        <v>6.4722792607802866</v>
      </c>
      <c r="EM29" s="11" t="s">
        <v>2067</v>
      </c>
      <c r="EN29" s="16">
        <v>0</v>
      </c>
      <c r="EO29" s="16">
        <v>0</v>
      </c>
      <c r="EP29" s="16">
        <v>0</v>
      </c>
      <c r="EQ29" s="16">
        <v>0</v>
      </c>
      <c r="ER29" s="16">
        <v>1</v>
      </c>
      <c r="ES29" s="16">
        <v>1</v>
      </c>
      <c r="ET29" s="16">
        <v>1</v>
      </c>
      <c r="EU29" s="16">
        <v>0</v>
      </c>
      <c r="EV29" s="16">
        <v>0</v>
      </c>
      <c r="EW29" s="1">
        <f>1-((1-EP29)*(1-ET29)*(1-EU29)*(1-EV29))</f>
        <v>1</v>
      </c>
      <c r="EX29" s="16">
        <v>1</v>
      </c>
      <c r="EY29" s="16">
        <v>0</v>
      </c>
      <c r="EZ29" s="16">
        <v>1</v>
      </c>
      <c r="FA29" s="16">
        <v>0</v>
      </c>
      <c r="FB29" s="11" t="s">
        <v>45</v>
      </c>
      <c r="FC29" s="12">
        <v>1</v>
      </c>
      <c r="FD29" s="12">
        <v>1</v>
      </c>
      <c r="FE29" s="11"/>
      <c r="FF29" s="30">
        <v>40785</v>
      </c>
      <c r="FG29" s="3">
        <f>IF(FC29=1, FF29, IF(FD29=1, 44348, DJ29))</f>
        <v>40785</v>
      </c>
      <c r="FH29" s="13">
        <f>(FG29-I29)/365.25*12</f>
        <v>19.811088295687885</v>
      </c>
      <c r="FI29" s="13"/>
      <c r="FJ29" s="14">
        <f>IF(OR(DM29,FC29), 1, 0)</f>
        <v>1</v>
      </c>
      <c r="FK29" s="11">
        <f>IF(DM29=1,IF(FC29=1,MIN(DO29,FF29),DO29),IF(FC29=1,FF29,DJ29))</f>
        <v>40379</v>
      </c>
      <c r="FL29" s="13">
        <f>(FK29-$I29)/365.25*12</f>
        <v>6.4722792607802866</v>
      </c>
      <c r="FM29" s="14">
        <f>IF(OR(ED29,FC29), 1, 0)</f>
        <v>1</v>
      </c>
      <c r="FN29" s="11">
        <f>IF(ED29=1,IF(FC29=1,MIN(EE29,FF29),EE29),IF(FC29=1,FF29,DJ29))</f>
        <v>40616</v>
      </c>
      <c r="FO29" s="13">
        <f>(FN29-$I29)/365.25*12</f>
        <v>14.258726899383984</v>
      </c>
      <c r="FP29" s="14">
        <f>IF(OR(EI29,FC29), 1, 0)</f>
        <v>1</v>
      </c>
      <c r="FQ29" s="11">
        <f>IF(EI29=1,IF(FC29=1,MIN(EK29,FF29),EK29),IF(FC29=1,FF29,DJ29))</f>
        <v>40379</v>
      </c>
      <c r="FR29" s="13">
        <f>(FQ29-$I29)/365.25*12</f>
        <v>6.4722792607802866</v>
      </c>
      <c r="FS29" s="12"/>
      <c r="FT29" s="12"/>
      <c r="FU29" s="12">
        <v>0</v>
      </c>
      <c r="FV29" s="12">
        <v>0</v>
      </c>
      <c r="FW29" s="12">
        <v>0</v>
      </c>
      <c r="FX29" s="12">
        <v>0</v>
      </c>
      <c r="FY29" s="12" t="s">
        <v>2066</v>
      </c>
      <c r="FZ29" s="12"/>
    </row>
    <row r="30" spans="1:182" ht="12.75" hidden="1" customHeight="1">
      <c r="A30" s="1" t="s">
        <v>2065</v>
      </c>
      <c r="B30" s="15" t="s">
        <v>1838</v>
      </c>
      <c r="C30" s="1">
        <v>18504837</v>
      </c>
      <c r="D30" s="1">
        <v>0</v>
      </c>
      <c r="E30" s="1">
        <v>0</v>
      </c>
      <c r="F30" s="1">
        <v>0</v>
      </c>
      <c r="G30" s="12">
        <v>1</v>
      </c>
      <c r="I30" s="3">
        <v>41674</v>
      </c>
      <c r="J30" s="3">
        <v>41642</v>
      </c>
      <c r="K30" s="3">
        <v>17799</v>
      </c>
      <c r="L30" s="5">
        <f>(DAYS360(K30,I30))/365</f>
        <v>64.468493150684935</v>
      </c>
      <c r="M30" s="1" t="s">
        <v>5</v>
      </c>
      <c r="N30" s="1">
        <v>1</v>
      </c>
      <c r="O30" s="1">
        <v>0</v>
      </c>
      <c r="P30" s="1" t="s">
        <v>69</v>
      </c>
      <c r="Q30" s="1">
        <v>1</v>
      </c>
      <c r="R30" s="1" t="s">
        <v>209</v>
      </c>
      <c r="S30" s="1" t="s">
        <v>2064</v>
      </c>
      <c r="T30" s="1" t="s">
        <v>140</v>
      </c>
      <c r="U30" s="1">
        <v>1</v>
      </c>
      <c r="V30" s="1">
        <v>0</v>
      </c>
      <c r="W30" s="1">
        <v>0</v>
      </c>
      <c r="X30" s="1" t="s">
        <v>1533</v>
      </c>
      <c r="Y30" s="1">
        <v>3</v>
      </c>
      <c r="Z30" s="1">
        <v>0</v>
      </c>
      <c r="AA30" s="1" t="s">
        <v>65</v>
      </c>
      <c r="AC30" s="1">
        <v>2</v>
      </c>
      <c r="AD30" s="1" t="s">
        <v>64</v>
      </c>
      <c r="AE30" s="1" t="s">
        <v>64</v>
      </c>
      <c r="AF30" s="1">
        <v>0</v>
      </c>
      <c r="AG30" s="1">
        <v>0</v>
      </c>
      <c r="AH30" s="1">
        <v>0</v>
      </c>
      <c r="AI30" s="3">
        <v>41674</v>
      </c>
      <c r="AJ30" s="3">
        <v>41708</v>
      </c>
      <c r="AK30" s="6" t="s">
        <v>1389</v>
      </c>
      <c r="AL30" s="6" t="s">
        <v>2063</v>
      </c>
      <c r="AM30" s="1">
        <v>0</v>
      </c>
      <c r="AN30" s="1">
        <v>0</v>
      </c>
      <c r="AO30" s="1">
        <v>0</v>
      </c>
      <c r="AP30" s="1">
        <v>0</v>
      </c>
      <c r="AQ30" s="1">
        <v>0</v>
      </c>
      <c r="AR30" s="1">
        <v>0</v>
      </c>
      <c r="AS30" s="12">
        <f>IF(AND(AM30=0,AU30&lt;=2), 1, 0)</f>
        <v>1</v>
      </c>
      <c r="AT30" s="12">
        <v>1</v>
      </c>
      <c r="AU30" s="1">
        <v>2</v>
      </c>
      <c r="AV30" s="6" t="s">
        <v>45</v>
      </c>
      <c r="AW30" s="6" t="s">
        <v>45</v>
      </c>
      <c r="AX30" s="6" t="s">
        <v>45</v>
      </c>
      <c r="AY30" s="6" t="s">
        <v>45</v>
      </c>
      <c r="AZ30" s="6" t="s">
        <v>111</v>
      </c>
      <c r="BA30" s="1">
        <v>4.8</v>
      </c>
      <c r="BB30" s="1">
        <v>139.80000000000001</v>
      </c>
      <c r="BC30" s="1">
        <v>1.2</v>
      </c>
      <c r="BD30" s="1">
        <v>1.2</v>
      </c>
      <c r="BE30" s="1">
        <v>332.5</v>
      </c>
      <c r="BF30" s="1" t="s">
        <v>883</v>
      </c>
      <c r="BG30" s="1">
        <v>45</v>
      </c>
      <c r="BH30" s="1">
        <v>45</v>
      </c>
      <c r="BI30" s="1">
        <v>0</v>
      </c>
      <c r="BJ30" s="1">
        <v>0</v>
      </c>
      <c r="BK30" s="1">
        <f>BH30+BI30</f>
        <v>45</v>
      </c>
      <c r="BL30" s="1">
        <v>25</v>
      </c>
      <c r="BM30" s="1">
        <v>1.8</v>
      </c>
      <c r="BN30" s="1" t="s">
        <v>110</v>
      </c>
      <c r="BO30" s="1">
        <v>0</v>
      </c>
      <c r="BP30" s="1">
        <v>1</v>
      </c>
      <c r="BQ30" s="1">
        <v>1</v>
      </c>
      <c r="BR30" s="3">
        <v>41674</v>
      </c>
      <c r="BS30" s="1" t="s">
        <v>61</v>
      </c>
      <c r="BT30" s="12" t="s">
        <v>60</v>
      </c>
      <c r="BU30" s="1">
        <v>5</v>
      </c>
      <c r="BV30" s="1">
        <v>1</v>
      </c>
      <c r="BW30" s="1">
        <v>4.3099999999999996</v>
      </c>
      <c r="BX30" s="1">
        <v>0.63800000000000001</v>
      </c>
      <c r="BY30" s="1">
        <v>0.246</v>
      </c>
      <c r="BZ30" s="1">
        <v>14.7</v>
      </c>
      <c r="CA30" s="1">
        <v>187</v>
      </c>
      <c r="CB30" s="1">
        <v>1.66</v>
      </c>
      <c r="CC30" s="1">
        <v>25.93</v>
      </c>
      <c r="CD30" s="1">
        <v>4.9000000000000004</v>
      </c>
      <c r="CE30" s="1">
        <v>1</v>
      </c>
      <c r="CF30" s="3">
        <v>41767</v>
      </c>
      <c r="CG30" s="7">
        <f>CF30-AJ30</f>
        <v>59</v>
      </c>
      <c r="CH30" s="12" t="s">
        <v>497</v>
      </c>
      <c r="CI30" s="12" t="s">
        <v>183</v>
      </c>
      <c r="CJ30" s="17" t="s">
        <v>515</v>
      </c>
      <c r="CK30" s="1" t="s">
        <v>1056</v>
      </c>
      <c r="CL30" s="1" t="s">
        <v>1055</v>
      </c>
      <c r="CM30" s="1">
        <v>0</v>
      </c>
      <c r="CO30" s="17" t="s">
        <v>1600</v>
      </c>
      <c r="CP30" s="17"/>
      <c r="CQ30" s="1" t="s">
        <v>2062</v>
      </c>
      <c r="CR30" s="1">
        <v>2.4</v>
      </c>
      <c r="CS30" s="1" t="s">
        <v>1014</v>
      </c>
      <c r="CT30" s="1" t="s">
        <v>45</v>
      </c>
      <c r="CU30" s="1" t="s">
        <v>794</v>
      </c>
      <c r="CV30" s="1">
        <v>0</v>
      </c>
      <c r="CW30" s="1">
        <v>0.6</v>
      </c>
      <c r="CX30" s="1">
        <v>12.3</v>
      </c>
      <c r="CY30" s="1">
        <v>0.3</v>
      </c>
      <c r="CZ30" s="1">
        <v>0</v>
      </c>
      <c r="DA30" s="1">
        <v>26</v>
      </c>
      <c r="DB30" s="2">
        <f>CZ30/DA30*100</f>
        <v>0</v>
      </c>
      <c r="DC30" s="1">
        <v>0</v>
      </c>
      <c r="DD30" s="1">
        <v>0</v>
      </c>
      <c r="DE30" s="1">
        <v>0</v>
      </c>
      <c r="DF30" s="1">
        <v>0</v>
      </c>
      <c r="DG30" s="26" t="s">
        <v>2061</v>
      </c>
      <c r="DH30" s="7">
        <v>0</v>
      </c>
      <c r="DI30" s="7">
        <v>0</v>
      </c>
      <c r="DJ30" s="3">
        <v>43510</v>
      </c>
      <c r="DK30" s="1" t="s">
        <v>339</v>
      </c>
      <c r="DL30" s="12">
        <f>(DJ30-I30)/365.25*12</f>
        <v>60.320328542094458</v>
      </c>
      <c r="DM30" s="1">
        <v>1</v>
      </c>
      <c r="DN30" s="1" t="s">
        <v>2060</v>
      </c>
      <c r="DO30" s="3">
        <v>43182</v>
      </c>
      <c r="DP30" s="11" t="s">
        <v>2059</v>
      </c>
      <c r="DQ30" s="16">
        <v>0</v>
      </c>
      <c r="DR30" s="11" t="s">
        <v>45</v>
      </c>
      <c r="DS30" s="10">
        <f>IF(DQ30=1, (DR30-$I30)/365.25*12, IF(DQ30=0, $DL30, "ERROR"))</f>
        <v>60.320328542094458</v>
      </c>
      <c r="DT30" s="16">
        <v>1</v>
      </c>
      <c r="DU30" s="16">
        <v>1</v>
      </c>
      <c r="DV30" s="16">
        <v>1</v>
      </c>
      <c r="DW30" s="16">
        <f>DU30*(1-DV30)</f>
        <v>0</v>
      </c>
      <c r="DX30" s="16">
        <f>(1-DU30)*DV30</f>
        <v>0</v>
      </c>
      <c r="DY30" s="16">
        <f>DU30*DV30</f>
        <v>1</v>
      </c>
      <c r="DZ30" s="3">
        <v>43182</v>
      </c>
      <c r="EA30" s="10">
        <f>IF(DT30=1, (DZ30-$I30)/365.25*12, IF(DT30=0, $DL30, "ERROR"))</f>
        <v>49.544147843942511</v>
      </c>
      <c r="EB30" s="16">
        <v>1</v>
      </c>
      <c r="EC30" s="16">
        <v>0</v>
      </c>
      <c r="ED30" s="16">
        <f>1-((1-DQ30)*(1-DT30))</f>
        <v>1</v>
      </c>
      <c r="EE30" s="11">
        <f>MIN(DR30,DZ30)</f>
        <v>43182</v>
      </c>
      <c r="EF30" s="1" t="s">
        <v>2058</v>
      </c>
      <c r="EG30" s="7" t="s">
        <v>45</v>
      </c>
      <c r="EH30" s="1" t="s">
        <v>45</v>
      </c>
      <c r="EI30" s="1">
        <v>1</v>
      </c>
      <c r="EJ30" s="16">
        <f>(1-DQ30)*DX30*(1-EI30)</f>
        <v>0</v>
      </c>
      <c r="EK30" s="3">
        <v>43182</v>
      </c>
      <c r="EL30" s="10">
        <f>IF(EI30=1, (EK30-$I30)/365.25*12, IF(EI30=0, $DL30, "ERROR"))</f>
        <v>49.544147843942511</v>
      </c>
      <c r="EM30" s="1" t="s">
        <v>2057</v>
      </c>
      <c r="EN30" s="7">
        <v>1</v>
      </c>
      <c r="EO30" s="7">
        <v>1</v>
      </c>
      <c r="EP30" s="7">
        <v>0</v>
      </c>
      <c r="EQ30" s="7">
        <v>0</v>
      </c>
      <c r="ER30" s="7">
        <v>0</v>
      </c>
      <c r="ES30" s="7">
        <v>0</v>
      </c>
      <c r="ET30" s="7">
        <v>0</v>
      </c>
      <c r="EU30" s="7">
        <v>0</v>
      </c>
      <c r="EV30" s="7">
        <v>0</v>
      </c>
      <c r="EW30" s="1">
        <f>1-((1-EP30)*(1-ET30)*(1-EU30)*(1-EV30))</f>
        <v>0</v>
      </c>
      <c r="EX30" s="7">
        <v>0</v>
      </c>
      <c r="EY30" s="7">
        <v>0</v>
      </c>
      <c r="EZ30" s="7">
        <v>0</v>
      </c>
      <c r="FA30" s="7">
        <v>0</v>
      </c>
      <c r="FB30" s="1" t="s">
        <v>45</v>
      </c>
      <c r="FC30" s="1">
        <v>1</v>
      </c>
      <c r="FD30" s="1">
        <v>1</v>
      </c>
      <c r="FE30" s="1" t="s">
        <v>336</v>
      </c>
      <c r="FF30" s="3">
        <v>43510</v>
      </c>
      <c r="FG30" s="3">
        <f>IF(FC30=1, FF30, IF(FD30=1, 44348, DJ30))</f>
        <v>43510</v>
      </c>
      <c r="FH30" s="13">
        <f>(FG30-I30)/365.25*12</f>
        <v>60.320328542094458</v>
      </c>
      <c r="FI30" s="13"/>
      <c r="FJ30" s="14">
        <f>IF(OR(DM30,FC30), 1, 0)</f>
        <v>1</v>
      </c>
      <c r="FK30" s="11">
        <f>IF(DM30=1,IF(FC30=1,MIN(DO30,FF30),DO30),IF(FC30=1,FF30,DJ30))</f>
        <v>43182</v>
      </c>
      <c r="FL30" s="13">
        <f>(FK30-$I30)/365.25*12</f>
        <v>49.544147843942511</v>
      </c>
      <c r="FM30" s="14">
        <f>IF(OR(ED30,FC30), 1, 0)</f>
        <v>1</v>
      </c>
      <c r="FN30" s="11">
        <f>IF(ED30=1,IF(FC30=1,MIN(EE30,FF30),EE30),IF(FC30=1,FF30,DJ30))</f>
        <v>43182</v>
      </c>
      <c r="FO30" s="13">
        <f>(FN30-$I30)/365.25*12</f>
        <v>49.544147843942511</v>
      </c>
      <c r="FP30" s="14">
        <f>IF(OR(EI30,FC30), 1, 0)</f>
        <v>1</v>
      </c>
      <c r="FQ30" s="11">
        <f>IF(EI30=1,IF(FC30=1,MIN(EK30,FF30),EK30),IF(FC30=1,FF30,DJ30))</f>
        <v>43182</v>
      </c>
      <c r="FR30" s="13">
        <f>(FQ30-$I30)/365.25*12</f>
        <v>49.544147843942511</v>
      </c>
      <c r="FS30" s="1" t="s">
        <v>45</v>
      </c>
      <c r="FT30" s="1" t="s">
        <v>45</v>
      </c>
      <c r="FU30" s="1">
        <v>0</v>
      </c>
      <c r="FV30" s="1">
        <v>0</v>
      </c>
      <c r="FW30" s="1">
        <v>0</v>
      </c>
      <c r="FX30" s="1">
        <v>0</v>
      </c>
      <c r="FY30" s="1" t="s">
        <v>2056</v>
      </c>
    </row>
    <row r="31" spans="1:182" ht="12.75" hidden="1" customHeight="1">
      <c r="A31" s="1" t="s">
        <v>2055</v>
      </c>
      <c r="B31" s="15" t="s">
        <v>2054</v>
      </c>
      <c r="C31" s="1">
        <v>37862527</v>
      </c>
      <c r="D31" s="1">
        <v>0</v>
      </c>
      <c r="E31" s="1">
        <v>0</v>
      </c>
      <c r="F31" s="1">
        <v>0</v>
      </c>
      <c r="G31" s="12">
        <v>1</v>
      </c>
      <c r="I31" s="3">
        <v>41487</v>
      </c>
      <c r="J31" s="3">
        <v>41458</v>
      </c>
      <c r="K31" s="3">
        <v>20864</v>
      </c>
      <c r="L31" s="5">
        <f>(DAYS360(K31,I31))/365</f>
        <v>55.69315068493151</v>
      </c>
      <c r="M31" s="9" t="s">
        <v>5</v>
      </c>
      <c r="N31" s="1">
        <v>1</v>
      </c>
      <c r="O31" s="1">
        <v>0</v>
      </c>
      <c r="P31" s="1" t="s">
        <v>81</v>
      </c>
      <c r="Q31" s="1">
        <v>2</v>
      </c>
      <c r="R31" s="1" t="s">
        <v>209</v>
      </c>
      <c r="S31" s="1">
        <v>20</v>
      </c>
      <c r="T31" s="1" t="s">
        <v>140</v>
      </c>
      <c r="U31" s="1">
        <v>1</v>
      </c>
      <c r="V31" s="1">
        <v>0</v>
      </c>
      <c r="W31" s="1">
        <v>0</v>
      </c>
      <c r="X31" s="1" t="s">
        <v>2053</v>
      </c>
      <c r="Y31" s="1">
        <v>3</v>
      </c>
      <c r="Z31" s="1">
        <v>1</v>
      </c>
      <c r="AA31" s="1" t="s">
        <v>116</v>
      </c>
      <c r="AC31" s="1">
        <v>3</v>
      </c>
      <c r="AD31" s="1" t="s">
        <v>2052</v>
      </c>
      <c r="AE31" s="1" t="s">
        <v>114</v>
      </c>
      <c r="AF31" s="1">
        <v>0</v>
      </c>
      <c r="AG31" s="1">
        <v>0</v>
      </c>
      <c r="AH31" s="1">
        <v>0</v>
      </c>
      <c r="AI31" s="3">
        <v>41487</v>
      </c>
      <c r="AJ31" s="3">
        <v>41527</v>
      </c>
      <c r="AK31" s="6" t="s">
        <v>2051</v>
      </c>
      <c r="AL31" s="6" t="s">
        <v>2050</v>
      </c>
      <c r="AM31" s="1">
        <v>1</v>
      </c>
      <c r="AN31" s="1">
        <v>0</v>
      </c>
      <c r="AO31" s="1">
        <v>1</v>
      </c>
      <c r="AP31" s="1">
        <v>0</v>
      </c>
      <c r="AQ31" s="1">
        <v>0</v>
      </c>
      <c r="AR31" s="1">
        <v>0</v>
      </c>
      <c r="AS31" s="12">
        <f>IF(AND(AM31=0,AU31&lt;=2), 1, 0)</f>
        <v>0</v>
      </c>
      <c r="AT31" s="12">
        <v>1</v>
      </c>
      <c r="AU31" s="1">
        <v>2</v>
      </c>
      <c r="AV31" s="1">
        <v>0.5</v>
      </c>
      <c r="AW31" s="1"/>
      <c r="AX31" s="1">
        <v>2</v>
      </c>
      <c r="AY31" s="1">
        <v>1</v>
      </c>
      <c r="AZ31" s="6" t="s">
        <v>111</v>
      </c>
      <c r="BA31" s="1">
        <v>5.5</v>
      </c>
      <c r="BB31" s="1">
        <v>202.7</v>
      </c>
      <c r="BC31" s="1">
        <v>2</v>
      </c>
      <c r="BD31" s="1">
        <v>2</v>
      </c>
      <c r="BE31" s="1">
        <v>490.2</v>
      </c>
      <c r="BF31" s="1" t="s">
        <v>2049</v>
      </c>
      <c r="BG31" s="1" t="s">
        <v>1253</v>
      </c>
      <c r="BH31" s="1">
        <v>45</v>
      </c>
      <c r="BI31" s="1">
        <v>5.4</v>
      </c>
      <c r="BJ31" s="1">
        <v>1</v>
      </c>
      <c r="BK31" s="1">
        <f>BH31+BI31</f>
        <v>50.4</v>
      </c>
      <c r="BL31" s="1">
        <v>28</v>
      </c>
      <c r="BM31" s="1">
        <v>1.8</v>
      </c>
      <c r="BN31" s="1" t="s">
        <v>110</v>
      </c>
      <c r="BO31" s="1">
        <v>0</v>
      </c>
      <c r="BP31" s="1">
        <v>1</v>
      </c>
      <c r="BQ31" s="1">
        <v>1</v>
      </c>
      <c r="BR31" s="3">
        <v>41487</v>
      </c>
      <c r="BS31" s="1" t="s">
        <v>61</v>
      </c>
      <c r="BT31" s="12" t="s">
        <v>60</v>
      </c>
      <c r="BU31" s="1">
        <v>6</v>
      </c>
      <c r="BV31" s="1">
        <v>1</v>
      </c>
      <c r="BW31" s="1">
        <v>8.51</v>
      </c>
      <c r="BX31" s="1">
        <v>0.55100000000000005</v>
      </c>
      <c r="BY31" s="1">
        <v>0.33600000000000002</v>
      </c>
      <c r="BZ31" s="1">
        <v>12.2</v>
      </c>
      <c r="CA31" s="1">
        <v>303</v>
      </c>
      <c r="CB31" s="1">
        <v>1.83</v>
      </c>
      <c r="CC31" s="1">
        <v>25.93</v>
      </c>
      <c r="CD31" s="1">
        <v>3.82</v>
      </c>
      <c r="CE31" s="1">
        <v>1</v>
      </c>
      <c r="CF31" s="3">
        <v>41569</v>
      </c>
      <c r="CG31" s="7">
        <f>CF31-AJ31</f>
        <v>42</v>
      </c>
      <c r="CH31" s="12" t="s">
        <v>497</v>
      </c>
      <c r="CI31" s="12" t="s">
        <v>183</v>
      </c>
      <c r="CJ31" s="17" t="s">
        <v>515</v>
      </c>
      <c r="CK31" s="1" t="s">
        <v>811</v>
      </c>
      <c r="CL31" s="1" t="s">
        <v>45</v>
      </c>
      <c r="CM31" s="1">
        <v>1</v>
      </c>
      <c r="CO31" s="1" t="s">
        <v>662</v>
      </c>
      <c r="CQ31" s="1" t="s">
        <v>45</v>
      </c>
      <c r="CR31" s="1">
        <v>0</v>
      </c>
      <c r="CS31" s="1" t="s">
        <v>45</v>
      </c>
      <c r="CT31" s="1" t="s">
        <v>45</v>
      </c>
      <c r="CU31" s="1" t="s">
        <v>45</v>
      </c>
      <c r="CV31" s="1">
        <v>0</v>
      </c>
      <c r="CW31" s="1" t="s">
        <v>45</v>
      </c>
      <c r="CX31" s="1" t="s">
        <v>45</v>
      </c>
      <c r="CY31" s="1" t="s">
        <v>45</v>
      </c>
      <c r="CZ31" s="1">
        <v>0</v>
      </c>
      <c r="DA31" s="1">
        <v>56</v>
      </c>
      <c r="DB31" s="2">
        <f>CZ31/DA31*100</f>
        <v>0</v>
      </c>
      <c r="DC31" s="1">
        <v>0</v>
      </c>
      <c r="DD31" s="1">
        <v>0</v>
      </c>
      <c r="DE31" s="1">
        <v>0</v>
      </c>
      <c r="DF31" s="1" t="s">
        <v>45</v>
      </c>
      <c r="DG31" s="26" t="s">
        <v>2048</v>
      </c>
      <c r="DH31" s="7">
        <v>0</v>
      </c>
      <c r="DI31" s="7">
        <v>0</v>
      </c>
      <c r="DJ31" s="3">
        <v>44118</v>
      </c>
      <c r="DK31" s="1" t="s">
        <v>75</v>
      </c>
      <c r="DL31" s="12">
        <f>(DJ31-I31)/365.25*12</f>
        <v>86.439425051334695</v>
      </c>
      <c r="DM31" s="1">
        <v>0</v>
      </c>
      <c r="DN31" s="1" t="s">
        <v>45</v>
      </c>
      <c r="DO31" s="1" t="s">
        <v>45</v>
      </c>
      <c r="DP31" s="6" t="s">
        <v>45</v>
      </c>
      <c r="DQ31" s="7">
        <v>0</v>
      </c>
      <c r="DR31" s="3" t="s">
        <v>45</v>
      </c>
      <c r="DS31" s="10">
        <f>IF(DQ31=1, (DR31-$I31)/365.25*12, IF(DQ31=0, $DL31, "ERROR"))</f>
        <v>86.439425051334695</v>
      </c>
      <c r="DT31" s="7">
        <v>0</v>
      </c>
      <c r="DU31" s="7">
        <v>0</v>
      </c>
      <c r="DV31" s="7">
        <v>0</v>
      </c>
      <c r="DW31" s="16">
        <f>DU31*(1-DV31)</f>
        <v>0</v>
      </c>
      <c r="DX31" s="16">
        <f>(1-DU31)*DV31</f>
        <v>0</v>
      </c>
      <c r="DY31" s="16">
        <f>DU31*DV31</f>
        <v>0</v>
      </c>
      <c r="DZ31" s="3" t="s">
        <v>45</v>
      </c>
      <c r="EA31" s="10">
        <f>IF(DT31=1, (DZ31-$I31)/365.25*12, IF(DT31=0, $DL31, "ERROR"))</f>
        <v>86.439425051334695</v>
      </c>
      <c r="EB31" s="7">
        <v>0</v>
      </c>
      <c r="EC31" s="7">
        <v>0</v>
      </c>
      <c r="ED31" s="16">
        <f>1-((1-DQ31)*(1-DT31))</f>
        <v>0</v>
      </c>
      <c r="EE31" s="11" t="s">
        <v>45</v>
      </c>
      <c r="EF31" s="1" t="s">
        <v>45</v>
      </c>
      <c r="EG31" s="7" t="s">
        <v>45</v>
      </c>
      <c r="EH31" s="1" t="s">
        <v>45</v>
      </c>
      <c r="EI31" s="1">
        <v>0</v>
      </c>
      <c r="EJ31" s="16">
        <f>(1-DQ31)*DX31*(1-EI31)</f>
        <v>0</v>
      </c>
      <c r="EK31" s="1" t="s">
        <v>45</v>
      </c>
      <c r="EL31" s="10">
        <f>IF(EI31=1, (EK31-$I31)/365.25*12, IF(EI31=0, $DL31, "ERROR"))</f>
        <v>86.439425051334695</v>
      </c>
      <c r="EM31" s="1" t="s">
        <v>45</v>
      </c>
      <c r="EN31" s="1">
        <v>0</v>
      </c>
      <c r="EO31" s="1">
        <v>0</v>
      </c>
      <c r="EP31" s="1">
        <v>0</v>
      </c>
      <c r="EQ31" s="1">
        <v>0</v>
      </c>
      <c r="ER31" s="1">
        <v>0</v>
      </c>
      <c r="ES31" s="1">
        <v>0</v>
      </c>
      <c r="ET31" s="1">
        <v>0</v>
      </c>
      <c r="EU31" s="1">
        <v>0</v>
      </c>
      <c r="EV31" s="1">
        <v>0</v>
      </c>
      <c r="EW31" s="1">
        <f>1-((1-EP31)*(1-ET31)*(1-EU31)*(1-EV31))</f>
        <v>0</v>
      </c>
      <c r="EX31" s="7">
        <v>0</v>
      </c>
      <c r="EY31" s="7">
        <v>0</v>
      </c>
      <c r="EZ31" s="7">
        <v>0</v>
      </c>
      <c r="FA31" s="7">
        <v>0</v>
      </c>
      <c r="FB31" s="1" t="s">
        <v>45</v>
      </c>
      <c r="FC31" s="1">
        <v>0</v>
      </c>
      <c r="FD31" s="1">
        <v>1</v>
      </c>
      <c r="FF31" s="1" t="s">
        <v>45</v>
      </c>
      <c r="FG31" s="3">
        <f>IF(FC31=1, FF31, IF(FD31=1, 44348, DJ31))</f>
        <v>44348</v>
      </c>
      <c r="FH31" s="13">
        <f>(FG31-I31)/365.25*12</f>
        <v>93.995893223819309</v>
      </c>
      <c r="FI31" s="13"/>
      <c r="FJ31" s="14">
        <f>IF(OR(DM31,FC31), 1, 0)</f>
        <v>0</v>
      </c>
      <c r="FK31" s="11">
        <f>IF(DM31=1,IF(FC31=1,MIN(DO31,FF31),DO31),IF(FC31=1,FF31,DJ31))</f>
        <v>44118</v>
      </c>
      <c r="FL31" s="13">
        <f>(FK31-$I31)/365.25*12</f>
        <v>86.439425051334695</v>
      </c>
      <c r="FM31" s="14">
        <f>IF(OR(ED31,FC31), 1, 0)</f>
        <v>0</v>
      </c>
      <c r="FN31" s="11">
        <f>IF(ED31=1,IF(FC31=1,MIN(EE31,FF31),EE31),IF(FC31=1,FF31,DJ31))</f>
        <v>44118</v>
      </c>
      <c r="FO31" s="13">
        <f>(FN31-$I31)/365.25*12</f>
        <v>86.439425051334695</v>
      </c>
      <c r="FP31" s="14">
        <f>IF(OR(EI31,FC31), 1, 0)</f>
        <v>0</v>
      </c>
      <c r="FQ31" s="11">
        <f>IF(EI31=1,IF(FC31=1,MIN(EK31,FF31),EK31),IF(FC31=1,FF31,DJ31))</f>
        <v>44118</v>
      </c>
      <c r="FR31" s="13">
        <f>(FQ31-$I31)/365.25*12</f>
        <v>86.439425051334695</v>
      </c>
      <c r="FS31" s="1" t="s">
        <v>45</v>
      </c>
      <c r="FT31" s="1" t="s">
        <v>2047</v>
      </c>
      <c r="FU31" s="1">
        <v>1</v>
      </c>
      <c r="FV31" s="1">
        <v>1</v>
      </c>
      <c r="FW31" s="1">
        <v>0</v>
      </c>
      <c r="FX31" s="1">
        <v>0</v>
      </c>
      <c r="FY31" s="1" t="s">
        <v>2046</v>
      </c>
      <c r="FZ31" s="1" t="s">
        <v>2045</v>
      </c>
    </row>
    <row r="32" spans="1:182" ht="12.75" hidden="1" customHeight="1">
      <c r="A32" s="1" t="s">
        <v>2044</v>
      </c>
      <c r="B32" s="15" t="s">
        <v>2043</v>
      </c>
      <c r="C32" s="1">
        <v>50280065</v>
      </c>
      <c r="D32" s="1">
        <v>0</v>
      </c>
      <c r="E32" s="1">
        <v>0</v>
      </c>
      <c r="F32" s="1">
        <v>0</v>
      </c>
      <c r="G32" s="12">
        <v>1</v>
      </c>
      <c r="I32" s="3">
        <v>43115</v>
      </c>
      <c r="J32" s="3">
        <v>43090</v>
      </c>
      <c r="K32" s="3">
        <v>20852</v>
      </c>
      <c r="L32" s="5">
        <f>(DAYS360(K32,I32))/365</f>
        <v>60.12054794520548</v>
      </c>
      <c r="M32" s="1" t="s">
        <v>5</v>
      </c>
      <c r="N32" s="1">
        <v>1</v>
      </c>
      <c r="O32" s="1">
        <v>0</v>
      </c>
      <c r="P32" s="1" t="s">
        <v>69</v>
      </c>
      <c r="Q32" s="1">
        <v>1</v>
      </c>
      <c r="R32" s="1" t="s">
        <v>209</v>
      </c>
      <c r="S32" s="1" t="s">
        <v>2042</v>
      </c>
      <c r="T32" s="1" t="s">
        <v>67</v>
      </c>
      <c r="U32" s="1">
        <v>0</v>
      </c>
      <c r="V32" s="1">
        <v>0</v>
      </c>
      <c r="W32" s="1">
        <v>1</v>
      </c>
      <c r="X32" s="1" t="s">
        <v>2021</v>
      </c>
      <c r="Y32" s="1">
        <v>3</v>
      </c>
      <c r="Z32" s="1">
        <v>2</v>
      </c>
      <c r="AA32" s="1" t="s">
        <v>116</v>
      </c>
      <c r="AC32" s="1">
        <v>3</v>
      </c>
      <c r="AD32" s="1" t="s">
        <v>2041</v>
      </c>
      <c r="AE32" s="1" t="s">
        <v>501</v>
      </c>
      <c r="AF32" s="1">
        <v>0</v>
      </c>
      <c r="AG32" s="1">
        <v>0</v>
      </c>
      <c r="AH32" s="1">
        <v>0</v>
      </c>
      <c r="AI32" s="3">
        <v>43115</v>
      </c>
      <c r="AJ32" s="3">
        <v>43151</v>
      </c>
      <c r="AK32" s="6" t="s">
        <v>2040</v>
      </c>
      <c r="AL32" s="6" t="s">
        <v>2030</v>
      </c>
      <c r="AM32" s="1">
        <v>0</v>
      </c>
      <c r="AN32" s="1">
        <v>0</v>
      </c>
      <c r="AO32" s="1">
        <v>0</v>
      </c>
      <c r="AP32" s="1">
        <v>0</v>
      </c>
      <c r="AQ32" s="1">
        <v>1</v>
      </c>
      <c r="AR32" s="1">
        <v>1</v>
      </c>
      <c r="AS32" s="12">
        <f>IF(AND(AM32=0,AU32&lt;=2), 1, 0)</f>
        <v>1</v>
      </c>
      <c r="AT32" s="12">
        <v>1</v>
      </c>
      <c r="AU32" s="1">
        <v>2</v>
      </c>
      <c r="AV32" s="1">
        <v>0.5</v>
      </c>
      <c r="AW32" s="1">
        <v>0.5</v>
      </c>
      <c r="AX32" s="6" t="s">
        <v>2039</v>
      </c>
      <c r="AY32" s="6" t="s">
        <v>2039</v>
      </c>
      <c r="AZ32" s="6" t="s">
        <v>46</v>
      </c>
      <c r="BA32" s="1">
        <f>8.9-6.5+0.3</f>
        <v>2.7</v>
      </c>
      <c r="BB32" s="1">
        <v>114.8</v>
      </c>
      <c r="BC32" s="1">
        <v>2</v>
      </c>
      <c r="BD32" s="1">
        <v>2</v>
      </c>
      <c r="BE32" s="1">
        <v>325.60000000000002</v>
      </c>
      <c r="BF32" s="1" t="s">
        <v>2029</v>
      </c>
      <c r="BG32" s="1">
        <v>45</v>
      </c>
      <c r="BH32" s="1">
        <v>45</v>
      </c>
      <c r="BI32" s="1">
        <v>0</v>
      </c>
      <c r="BJ32" s="1">
        <v>0</v>
      </c>
      <c r="BK32" s="1">
        <f>BH32+BI32</f>
        <v>45</v>
      </c>
      <c r="BL32" s="1">
        <v>25</v>
      </c>
      <c r="BM32" s="1">
        <v>1.8</v>
      </c>
      <c r="BN32" s="1" t="s">
        <v>62</v>
      </c>
      <c r="BO32" s="1">
        <v>1</v>
      </c>
      <c r="BP32" s="1">
        <v>1</v>
      </c>
      <c r="BQ32" s="1">
        <v>1</v>
      </c>
      <c r="BR32" s="3">
        <v>43115</v>
      </c>
      <c r="BS32" s="1" t="s">
        <v>61</v>
      </c>
      <c r="BT32" s="12" t="s">
        <v>60</v>
      </c>
      <c r="BU32" s="1">
        <v>5</v>
      </c>
      <c r="BV32" s="1">
        <v>1</v>
      </c>
      <c r="BW32" s="1">
        <v>5.6</v>
      </c>
      <c r="BX32" s="1">
        <v>0.54100000000000004</v>
      </c>
      <c r="BY32" s="1">
        <v>0.28699999999999998</v>
      </c>
      <c r="BZ32" s="1">
        <v>14.9</v>
      </c>
      <c r="CA32" s="1">
        <v>254</v>
      </c>
      <c r="CB32" s="1">
        <v>1.84</v>
      </c>
      <c r="CC32" s="1">
        <v>12.2</v>
      </c>
      <c r="CD32" s="1">
        <v>8.1999999999999993</v>
      </c>
      <c r="CE32" s="1">
        <v>1</v>
      </c>
      <c r="CF32" s="3">
        <v>43195</v>
      </c>
      <c r="CG32" s="7">
        <f>CF32-AJ32</f>
        <v>44</v>
      </c>
      <c r="CH32" s="12" t="s">
        <v>497</v>
      </c>
      <c r="CI32" s="12" t="s">
        <v>183</v>
      </c>
      <c r="CJ32" s="17" t="s">
        <v>182</v>
      </c>
      <c r="CK32" s="1" t="s">
        <v>811</v>
      </c>
      <c r="CL32" s="1" t="s">
        <v>45</v>
      </c>
      <c r="CM32" s="1">
        <v>1</v>
      </c>
      <c r="CO32" s="1" t="s">
        <v>662</v>
      </c>
      <c r="CQ32" s="1" t="s">
        <v>45</v>
      </c>
      <c r="CR32" s="1">
        <v>0</v>
      </c>
      <c r="CS32" s="1" t="s">
        <v>45</v>
      </c>
      <c r="CT32" s="1" t="s">
        <v>45</v>
      </c>
      <c r="CU32" s="1" t="s">
        <v>45</v>
      </c>
      <c r="CV32" s="1">
        <v>0</v>
      </c>
      <c r="CW32" s="1" t="s">
        <v>45</v>
      </c>
      <c r="CX32" s="1" t="s">
        <v>45</v>
      </c>
      <c r="CY32" s="1" t="s">
        <v>45</v>
      </c>
      <c r="CZ32" s="1">
        <v>0</v>
      </c>
      <c r="DA32" s="1">
        <v>53</v>
      </c>
      <c r="DB32" s="2">
        <f>CZ32/DA32*100</f>
        <v>0</v>
      </c>
      <c r="DC32" s="1">
        <v>0</v>
      </c>
      <c r="DD32" s="1">
        <v>0</v>
      </c>
      <c r="DE32" s="1">
        <v>0</v>
      </c>
      <c r="DF32" s="1">
        <v>0</v>
      </c>
      <c r="DG32" s="26" t="s">
        <v>2038</v>
      </c>
      <c r="DH32" s="7">
        <v>0</v>
      </c>
      <c r="DI32" s="7">
        <v>0</v>
      </c>
      <c r="DJ32" s="3">
        <v>44274</v>
      </c>
      <c r="DK32" s="1" t="s">
        <v>75</v>
      </c>
      <c r="DL32" s="12">
        <f>(DJ32-I32)/365.25*12</f>
        <v>38.078028747433265</v>
      </c>
      <c r="DM32" s="1">
        <v>0</v>
      </c>
      <c r="DN32" s="1" t="s">
        <v>45</v>
      </c>
      <c r="DO32" s="1" t="s">
        <v>45</v>
      </c>
      <c r="DP32" s="6" t="s">
        <v>45</v>
      </c>
      <c r="DQ32" s="7">
        <v>0</v>
      </c>
      <c r="DR32" s="3" t="s">
        <v>45</v>
      </c>
      <c r="DS32" s="10">
        <f>IF(DQ32=1, (DR32-$I32)/365.25*12, IF(DQ32=0, $DL32, "ERROR"))</f>
        <v>38.078028747433265</v>
      </c>
      <c r="DT32" s="7">
        <v>0</v>
      </c>
      <c r="DU32" s="7">
        <v>0</v>
      </c>
      <c r="DV32" s="7">
        <v>0</v>
      </c>
      <c r="DW32" s="16">
        <f>DU32*(1-DV32)</f>
        <v>0</v>
      </c>
      <c r="DX32" s="16">
        <f>(1-DU32)*DV32</f>
        <v>0</v>
      </c>
      <c r="DY32" s="16">
        <f>DU32*DV32</f>
        <v>0</v>
      </c>
      <c r="DZ32" s="3" t="s">
        <v>45</v>
      </c>
      <c r="EA32" s="10">
        <f>IF(DT32=1, (DZ32-$I32)/365.25*12, IF(DT32=0, $DL32, "ERROR"))</f>
        <v>38.078028747433265</v>
      </c>
      <c r="EB32" s="7">
        <v>0</v>
      </c>
      <c r="EC32" s="7">
        <v>0</v>
      </c>
      <c r="ED32" s="16">
        <f>1-((1-DQ32)*(1-DT32))</f>
        <v>0</v>
      </c>
      <c r="EE32" s="11" t="s">
        <v>45</v>
      </c>
      <c r="EF32" s="1" t="s">
        <v>45</v>
      </c>
      <c r="EG32" s="7" t="s">
        <v>45</v>
      </c>
      <c r="EH32" s="1" t="s">
        <v>45</v>
      </c>
      <c r="EI32" s="1">
        <v>0</v>
      </c>
      <c r="EJ32" s="16">
        <f>(1-DQ32)*DX32*(1-EI32)</f>
        <v>0</v>
      </c>
      <c r="EK32" s="1" t="s">
        <v>45</v>
      </c>
      <c r="EL32" s="10">
        <f>IF(EI32=1, (EK32-$I32)/365.25*12, IF(EI32=0, $DL32, "ERROR"))</f>
        <v>38.078028747433265</v>
      </c>
      <c r="EM32" s="1" t="s">
        <v>45</v>
      </c>
      <c r="EN32" s="1">
        <v>0</v>
      </c>
      <c r="EO32" s="1">
        <v>0</v>
      </c>
      <c r="EP32" s="1">
        <v>0</v>
      </c>
      <c r="EQ32" s="1">
        <v>0</v>
      </c>
      <c r="ER32" s="1">
        <v>0</v>
      </c>
      <c r="ES32" s="1">
        <v>0</v>
      </c>
      <c r="ET32" s="1">
        <v>0</v>
      </c>
      <c r="EU32" s="1">
        <v>0</v>
      </c>
      <c r="EV32" s="1">
        <v>0</v>
      </c>
      <c r="EW32" s="1">
        <f>1-((1-EP32)*(1-ET32)*(1-EU32)*(1-EV32))</f>
        <v>0</v>
      </c>
      <c r="EX32" s="7">
        <v>0</v>
      </c>
      <c r="EY32" s="7">
        <v>0</v>
      </c>
      <c r="EZ32" s="7">
        <v>0</v>
      </c>
      <c r="FA32" s="7">
        <v>0</v>
      </c>
      <c r="FB32" s="1" t="s">
        <v>45</v>
      </c>
      <c r="FC32" s="1">
        <v>0</v>
      </c>
      <c r="FD32" s="1">
        <v>1</v>
      </c>
      <c r="FF32" s="1" t="s">
        <v>45</v>
      </c>
      <c r="FG32" s="3">
        <f>IF(FC32=1, FF32, IF(FD32=1, 44348, DJ32))</f>
        <v>44348</v>
      </c>
      <c r="FH32" s="13">
        <f>(FG32-I32)/365.25*12</f>
        <v>40.50924024640657</v>
      </c>
      <c r="FI32" s="13"/>
      <c r="FJ32" s="14">
        <f>IF(OR(DM32,FC32), 1, 0)</f>
        <v>0</v>
      </c>
      <c r="FK32" s="11">
        <f>IF(DM32=1,IF(FC32=1,MIN(DO32,FF32),DO32),IF(FC32=1,FF32,DJ32))</f>
        <v>44274</v>
      </c>
      <c r="FL32" s="13">
        <f>(FK32-$I32)/365.25*12</f>
        <v>38.078028747433265</v>
      </c>
      <c r="FM32" s="14">
        <f>IF(OR(ED32,FC32), 1, 0)</f>
        <v>0</v>
      </c>
      <c r="FN32" s="11">
        <f>IF(ED32=1,IF(FC32=1,MIN(EE32,FF32),EE32),IF(FC32=1,FF32,DJ32))</f>
        <v>44274</v>
      </c>
      <c r="FO32" s="13">
        <f>(FN32-$I32)/365.25*12</f>
        <v>38.078028747433265</v>
      </c>
      <c r="FP32" s="14">
        <f>IF(OR(EI32,FC32), 1, 0)</f>
        <v>0</v>
      </c>
      <c r="FQ32" s="11">
        <f>IF(EI32=1,IF(FC32=1,MIN(EK32,FF32),EK32),IF(FC32=1,FF32,DJ32))</f>
        <v>44274</v>
      </c>
      <c r="FR32" s="13">
        <f>(FQ32-$I32)/365.25*12</f>
        <v>38.078028747433265</v>
      </c>
      <c r="FS32" s="1" t="s">
        <v>45</v>
      </c>
      <c r="FT32" s="1" t="s">
        <v>45</v>
      </c>
      <c r="FU32" s="1">
        <v>0</v>
      </c>
      <c r="FV32" s="1">
        <v>0</v>
      </c>
      <c r="FW32" s="1">
        <v>0</v>
      </c>
      <c r="FX32" s="1">
        <v>0</v>
      </c>
      <c r="FY32" s="1" t="s">
        <v>2037</v>
      </c>
    </row>
    <row r="33" spans="1:182" ht="12.75" hidden="1" customHeight="1">
      <c r="A33" s="1" t="s">
        <v>2036</v>
      </c>
      <c r="B33" s="15" t="s">
        <v>2035</v>
      </c>
      <c r="C33" s="1">
        <v>37575171</v>
      </c>
      <c r="D33" s="1">
        <v>0</v>
      </c>
      <c r="E33" s="1">
        <v>0</v>
      </c>
      <c r="F33" s="1">
        <v>0</v>
      </c>
      <c r="G33" s="12">
        <v>1</v>
      </c>
      <c r="I33" s="3">
        <v>42425</v>
      </c>
      <c r="J33" s="3">
        <v>42391</v>
      </c>
      <c r="K33" s="3">
        <v>15375</v>
      </c>
      <c r="L33" s="5">
        <f>(DAYS360(K33,I33))/365</f>
        <v>73.046575342465758</v>
      </c>
      <c r="M33" s="1" t="s">
        <v>5</v>
      </c>
      <c r="N33" s="1">
        <v>1</v>
      </c>
      <c r="O33" s="1">
        <v>0</v>
      </c>
      <c r="P33" s="1" t="s">
        <v>69</v>
      </c>
      <c r="Q33" s="1">
        <v>1</v>
      </c>
      <c r="R33" s="1" t="s">
        <v>209</v>
      </c>
      <c r="S33" s="1" t="s">
        <v>2034</v>
      </c>
      <c r="T33" s="1" t="s">
        <v>80</v>
      </c>
      <c r="U33" s="1">
        <v>0</v>
      </c>
      <c r="V33" s="1">
        <v>1</v>
      </c>
      <c r="W33" s="1">
        <v>0</v>
      </c>
      <c r="X33" s="1" t="s">
        <v>2033</v>
      </c>
      <c r="Y33" s="1">
        <v>3</v>
      </c>
      <c r="Z33" s="1">
        <v>3</v>
      </c>
      <c r="AA33" s="1" t="s">
        <v>96</v>
      </c>
      <c r="AC33" s="1">
        <v>5</v>
      </c>
      <c r="AD33" s="1" t="s">
        <v>2032</v>
      </c>
      <c r="AE33" s="1" t="s">
        <v>2029</v>
      </c>
      <c r="AF33" s="1">
        <v>1</v>
      </c>
      <c r="AG33" s="1">
        <v>1</v>
      </c>
      <c r="AH33" s="1">
        <v>0</v>
      </c>
      <c r="AI33" s="3">
        <v>42425</v>
      </c>
      <c r="AJ33" s="3">
        <v>42460</v>
      </c>
      <c r="AK33" s="6" t="s">
        <v>2031</v>
      </c>
      <c r="AL33" s="6" t="s">
        <v>2030</v>
      </c>
      <c r="AM33" s="1">
        <v>0</v>
      </c>
      <c r="AN33" s="1">
        <v>0</v>
      </c>
      <c r="AO33" s="1">
        <v>0</v>
      </c>
      <c r="AP33" s="1">
        <v>0</v>
      </c>
      <c r="AQ33" s="1">
        <v>0</v>
      </c>
      <c r="AR33" s="1">
        <v>0</v>
      </c>
      <c r="AS33" s="12">
        <f>IF(AND(AM33=0,AU33&lt;=2), 1, 0)</f>
        <v>1</v>
      </c>
      <c r="AT33" s="12">
        <v>1</v>
      </c>
      <c r="AU33" s="1">
        <v>2</v>
      </c>
      <c r="AV33" s="1">
        <v>0.5</v>
      </c>
      <c r="AW33" s="1">
        <v>0.5</v>
      </c>
      <c r="AX33" s="6" t="s">
        <v>45</v>
      </c>
      <c r="AY33" s="6" t="s">
        <v>45</v>
      </c>
      <c r="AZ33" s="1">
        <v>0.7</v>
      </c>
      <c r="BA33" s="1">
        <f>7.5-3.9+0.3</f>
        <v>3.9</v>
      </c>
      <c r="BB33" s="1">
        <v>280.60000000000002</v>
      </c>
      <c r="BC33" s="1">
        <v>1.2</v>
      </c>
      <c r="BD33" s="1">
        <v>2</v>
      </c>
      <c r="BE33" s="1">
        <v>597.79999999999995</v>
      </c>
      <c r="BF33" s="1" t="s">
        <v>2029</v>
      </c>
      <c r="BG33" s="1">
        <v>45</v>
      </c>
      <c r="BH33" s="1">
        <v>45</v>
      </c>
      <c r="BI33" s="1">
        <v>0</v>
      </c>
      <c r="BJ33" s="1">
        <v>0</v>
      </c>
      <c r="BK33" s="1">
        <f>BH33+BI33</f>
        <v>45</v>
      </c>
      <c r="BL33" s="1">
        <v>25</v>
      </c>
      <c r="BM33" s="1">
        <v>1.8</v>
      </c>
      <c r="BN33" s="1" t="s">
        <v>110</v>
      </c>
      <c r="BO33" s="1">
        <v>0</v>
      </c>
      <c r="BP33" s="1">
        <v>1</v>
      </c>
      <c r="BQ33" s="1">
        <v>1</v>
      </c>
      <c r="BR33" s="3">
        <v>42425</v>
      </c>
      <c r="BS33" s="1" t="s">
        <v>61</v>
      </c>
      <c r="BT33" s="12" t="s">
        <v>60</v>
      </c>
      <c r="BU33" s="1">
        <v>5</v>
      </c>
      <c r="BV33" s="1">
        <v>1</v>
      </c>
      <c r="BW33" s="1">
        <v>9.01</v>
      </c>
      <c r="BX33" s="1">
        <v>0.56999999999999995</v>
      </c>
      <c r="BY33" s="1">
        <v>0.3</v>
      </c>
      <c r="BZ33" s="1">
        <v>13</v>
      </c>
      <c r="CA33" s="1">
        <v>230</v>
      </c>
      <c r="CB33" s="1">
        <v>1.62</v>
      </c>
      <c r="CC33" s="1">
        <v>20.5</v>
      </c>
      <c r="CE33" s="1">
        <v>1</v>
      </c>
      <c r="CF33" s="3">
        <v>42493</v>
      </c>
      <c r="CG33" s="7">
        <f>CF33-AJ33</f>
        <v>33</v>
      </c>
      <c r="CH33" s="12" t="s">
        <v>2004</v>
      </c>
      <c r="CI33" s="12" t="s">
        <v>183</v>
      </c>
      <c r="CJ33" s="17" t="s">
        <v>182</v>
      </c>
      <c r="CK33" s="1" t="s">
        <v>1284</v>
      </c>
      <c r="CL33" s="1" t="s">
        <v>280</v>
      </c>
      <c r="CM33" s="1">
        <v>0</v>
      </c>
      <c r="CO33" s="1" t="s">
        <v>1004</v>
      </c>
      <c r="CQ33" s="1" t="s">
        <v>2028</v>
      </c>
      <c r="CR33" s="1">
        <v>3.8</v>
      </c>
      <c r="CS33" s="1" t="s">
        <v>1014</v>
      </c>
      <c r="CT33" s="1" t="s">
        <v>511</v>
      </c>
      <c r="CU33" s="1" t="s">
        <v>472</v>
      </c>
      <c r="CV33" s="1">
        <v>0</v>
      </c>
      <c r="CW33" s="1">
        <v>5.5</v>
      </c>
      <c r="CX33" s="1">
        <v>9.6999999999999993</v>
      </c>
      <c r="CY33" s="1">
        <v>0.15</v>
      </c>
      <c r="CZ33" s="1">
        <v>22</v>
      </c>
      <c r="DA33" s="1">
        <v>93</v>
      </c>
      <c r="DB33" s="2">
        <f>CZ33/DA33*100</f>
        <v>23.655913978494624</v>
      </c>
      <c r="DC33" s="1">
        <v>1</v>
      </c>
      <c r="DD33" s="1">
        <v>1</v>
      </c>
      <c r="DE33" s="1">
        <v>0</v>
      </c>
      <c r="DF33" s="1">
        <v>0</v>
      </c>
      <c r="DG33" s="26" t="s">
        <v>2027</v>
      </c>
      <c r="DH33" s="7">
        <v>0</v>
      </c>
      <c r="DI33" s="7">
        <v>0</v>
      </c>
      <c r="DJ33" s="3">
        <v>43255</v>
      </c>
      <c r="DK33" s="1" t="s">
        <v>339</v>
      </c>
      <c r="DL33" s="12">
        <f>(DJ33-I33)/365.25*12</f>
        <v>27.268993839835726</v>
      </c>
      <c r="DM33" s="1">
        <v>1</v>
      </c>
      <c r="DN33" s="1" t="s">
        <v>2026</v>
      </c>
      <c r="DO33" s="3">
        <v>43076</v>
      </c>
      <c r="DP33" s="19" t="s">
        <v>508</v>
      </c>
      <c r="DQ33" s="16">
        <v>0</v>
      </c>
      <c r="DR33" s="11" t="s">
        <v>45</v>
      </c>
      <c r="DS33" s="10">
        <f>IF(DQ33=1, (DR33-$I33)/365.25*12, IF(DQ33=0, $DL33, "ERROR"))</f>
        <v>27.268993839835726</v>
      </c>
      <c r="DT33" s="16">
        <v>0</v>
      </c>
      <c r="DU33" s="16">
        <v>0</v>
      </c>
      <c r="DV33" s="16">
        <v>0</v>
      </c>
      <c r="DW33" s="16">
        <f>DU33*(1-DV33)</f>
        <v>0</v>
      </c>
      <c r="DX33" s="16">
        <f>(1-DU33)*DV33</f>
        <v>0</v>
      </c>
      <c r="DY33" s="16">
        <f>DU33*DV33</f>
        <v>0</v>
      </c>
      <c r="DZ33" s="11" t="s">
        <v>45</v>
      </c>
      <c r="EA33" s="10">
        <f>IF(DT33=1, (DZ33-$I33)/365.25*12, IF(DT33=0, $DL33, "ERROR"))</f>
        <v>27.268993839835726</v>
      </c>
      <c r="EB33" s="16">
        <v>0</v>
      </c>
      <c r="EC33" s="16">
        <v>0</v>
      </c>
      <c r="ED33" s="16">
        <f>1-((1-DQ33)*(1-DT33))</f>
        <v>0</v>
      </c>
      <c r="EE33" s="11" t="s">
        <v>45</v>
      </c>
      <c r="EF33" s="1" t="s">
        <v>45</v>
      </c>
      <c r="EG33" s="7" t="s">
        <v>45</v>
      </c>
      <c r="EH33" s="1" t="s">
        <v>45</v>
      </c>
      <c r="EI33" s="1">
        <v>1</v>
      </c>
      <c r="EJ33" s="16">
        <f>(1-DQ33)*DX33*(1-EI33)</f>
        <v>0</v>
      </c>
      <c r="EK33" s="3">
        <v>43076</v>
      </c>
      <c r="EL33" s="10">
        <f>IF(EI33=1, (EK33-$I33)/365.25*12, IF(EI33=0, $DL33, "ERROR"))</f>
        <v>21.388090349075974</v>
      </c>
      <c r="EM33" s="1" t="s">
        <v>2026</v>
      </c>
      <c r="EN33" s="7">
        <v>0</v>
      </c>
      <c r="EO33" s="7">
        <v>0</v>
      </c>
      <c r="EP33" s="7">
        <v>0</v>
      </c>
      <c r="EQ33" s="7">
        <v>0</v>
      </c>
      <c r="ER33" s="7">
        <v>0</v>
      </c>
      <c r="ES33" s="7">
        <v>1</v>
      </c>
      <c r="ET33" s="7">
        <v>1</v>
      </c>
      <c r="EU33" s="7">
        <v>0</v>
      </c>
      <c r="EV33" s="7">
        <v>0</v>
      </c>
      <c r="EW33" s="1">
        <f>1-((1-EP33)*(1-ET33)*(1-EU33)*(1-EV33))</f>
        <v>1</v>
      </c>
      <c r="EX33" s="7">
        <v>0</v>
      </c>
      <c r="EY33" s="7">
        <v>1</v>
      </c>
      <c r="EZ33" s="7">
        <v>0</v>
      </c>
      <c r="FA33" s="7">
        <v>1</v>
      </c>
      <c r="FB33" s="1" t="s">
        <v>45</v>
      </c>
      <c r="FC33" s="1">
        <v>1</v>
      </c>
      <c r="FD33" s="1">
        <v>1</v>
      </c>
      <c r="FE33" s="1" t="s">
        <v>336</v>
      </c>
      <c r="FF33" s="3">
        <v>43278</v>
      </c>
      <c r="FG33" s="3">
        <f>IF(FC33=1, FF33, IF(FD33=1, 44348, DJ33))</f>
        <v>43278</v>
      </c>
      <c r="FH33" s="13">
        <f>(FG33-I33)/365.25*12</f>
        <v>28.024640657084188</v>
      </c>
      <c r="FI33" s="13"/>
      <c r="FJ33" s="14">
        <f>IF(OR(DM33,FC33), 1, 0)</f>
        <v>1</v>
      </c>
      <c r="FK33" s="11">
        <f>IF(DM33=1,IF(FC33=1,MIN(DO33,FF33),DO33),IF(FC33=1,FF33,DJ33))</f>
        <v>43076</v>
      </c>
      <c r="FL33" s="13">
        <f>(FK33-$I33)/365.25*12</f>
        <v>21.388090349075974</v>
      </c>
      <c r="FM33" s="14">
        <f>IF(OR(ED33,FC33), 1, 0)</f>
        <v>1</v>
      </c>
      <c r="FN33" s="11">
        <f>IF(ED33=1,IF(FC33=1,MIN(EE33,FF33),EE33),IF(FC33=1,FF33,DJ33))</f>
        <v>43278</v>
      </c>
      <c r="FO33" s="13">
        <f>(FN33-$I33)/365.25*12</f>
        <v>28.024640657084188</v>
      </c>
      <c r="FP33" s="14">
        <f>IF(OR(EI33,FC33), 1, 0)</f>
        <v>1</v>
      </c>
      <c r="FQ33" s="11">
        <f>IF(EI33=1,IF(FC33=1,MIN(EK33,FF33),EK33),IF(FC33=1,FF33,DJ33))</f>
        <v>43076</v>
      </c>
      <c r="FR33" s="13">
        <f>(FQ33-$I33)/365.25*12</f>
        <v>21.388090349075974</v>
      </c>
      <c r="FS33" s="1" t="s">
        <v>45</v>
      </c>
      <c r="FT33" s="1" t="s">
        <v>1383</v>
      </c>
      <c r="FU33" s="1">
        <v>0</v>
      </c>
      <c r="FV33" s="1">
        <v>0</v>
      </c>
      <c r="FW33" s="1">
        <v>0</v>
      </c>
      <c r="FX33" s="1">
        <v>0</v>
      </c>
      <c r="FY33" s="1" t="s">
        <v>2025</v>
      </c>
    </row>
    <row r="34" spans="1:182" ht="12.75" hidden="1" customHeight="1">
      <c r="A34" s="1" t="s">
        <v>2024</v>
      </c>
      <c r="B34" s="15" t="s">
        <v>2023</v>
      </c>
      <c r="C34" s="1">
        <v>48027627</v>
      </c>
      <c r="D34" s="1">
        <v>0</v>
      </c>
      <c r="E34" s="1">
        <v>0</v>
      </c>
      <c r="F34" s="1">
        <v>0</v>
      </c>
      <c r="G34" s="12">
        <v>1</v>
      </c>
      <c r="I34" s="3">
        <v>42488</v>
      </c>
      <c r="J34" s="3">
        <v>42460</v>
      </c>
      <c r="K34" s="3">
        <v>21272</v>
      </c>
      <c r="L34" s="5">
        <f>(DAYS360(K34,I34))/365</f>
        <v>57.287671232876711</v>
      </c>
      <c r="M34" s="1" t="s">
        <v>5</v>
      </c>
      <c r="N34" s="1">
        <v>1</v>
      </c>
      <c r="O34" s="1">
        <v>0</v>
      </c>
      <c r="P34" s="1" t="s">
        <v>69</v>
      </c>
      <c r="Q34" s="1">
        <v>1</v>
      </c>
      <c r="R34" s="1" t="s">
        <v>209</v>
      </c>
      <c r="S34" s="1" t="s">
        <v>2022</v>
      </c>
      <c r="T34" s="1" t="s">
        <v>80</v>
      </c>
      <c r="U34" s="1">
        <v>0</v>
      </c>
      <c r="V34" s="1">
        <v>1</v>
      </c>
      <c r="W34" s="1">
        <v>0</v>
      </c>
      <c r="X34" s="1" t="s">
        <v>2021</v>
      </c>
      <c r="Y34" s="1">
        <v>3</v>
      </c>
      <c r="Z34" s="1">
        <v>2</v>
      </c>
      <c r="AA34" s="1" t="s">
        <v>116</v>
      </c>
      <c r="AC34" s="1">
        <v>3</v>
      </c>
      <c r="AD34" s="1" t="s">
        <v>2020</v>
      </c>
      <c r="AE34" s="1" t="s">
        <v>501</v>
      </c>
      <c r="AF34" s="1">
        <v>0</v>
      </c>
      <c r="AG34" s="1">
        <v>0</v>
      </c>
      <c r="AH34" s="1">
        <v>0</v>
      </c>
      <c r="AI34" s="3">
        <v>42488</v>
      </c>
      <c r="AJ34" s="3">
        <v>42524</v>
      </c>
      <c r="AK34" s="6" t="s">
        <v>2019</v>
      </c>
      <c r="AL34" s="6" t="s">
        <v>2018</v>
      </c>
      <c r="AM34" s="1">
        <v>0</v>
      </c>
      <c r="AN34" s="1">
        <v>0</v>
      </c>
      <c r="AO34" s="1">
        <v>0</v>
      </c>
      <c r="AP34" s="1">
        <v>0</v>
      </c>
      <c r="AQ34" s="1">
        <v>0</v>
      </c>
      <c r="AR34" s="1">
        <v>0</v>
      </c>
      <c r="AS34" s="12">
        <f>IF(AND(AM34=0,AU34&lt;=2), 1, 0)</f>
        <v>1</v>
      </c>
      <c r="AT34" s="12">
        <v>1</v>
      </c>
      <c r="AU34" s="1">
        <v>2</v>
      </c>
      <c r="AV34" s="1">
        <v>0.5</v>
      </c>
      <c r="AW34" s="1">
        <v>0.5</v>
      </c>
      <c r="AX34" s="6" t="s">
        <v>45</v>
      </c>
      <c r="AY34" s="6" t="s">
        <v>45</v>
      </c>
      <c r="AZ34" s="1">
        <v>0.7</v>
      </c>
      <c r="BA34" s="1">
        <f>1.2+4.8+0.3</f>
        <v>6.3</v>
      </c>
      <c r="BB34" s="1">
        <v>230.8</v>
      </c>
      <c r="BC34" s="1">
        <f>8.7-1.5+0.3</f>
        <v>7.4999999999999991</v>
      </c>
      <c r="BD34" s="1">
        <v>2</v>
      </c>
      <c r="BE34" s="1">
        <v>489.4</v>
      </c>
      <c r="BF34" s="1" t="s">
        <v>2017</v>
      </c>
      <c r="BG34" s="1">
        <v>45</v>
      </c>
      <c r="BH34" s="1">
        <v>45</v>
      </c>
      <c r="BI34" s="1">
        <v>0</v>
      </c>
      <c r="BJ34" s="1">
        <v>0</v>
      </c>
      <c r="BK34" s="1">
        <f>BH34+BI34</f>
        <v>45</v>
      </c>
      <c r="BL34" s="1">
        <v>25</v>
      </c>
      <c r="BM34" s="1">
        <v>1.8</v>
      </c>
      <c r="BN34" s="1" t="s">
        <v>110</v>
      </c>
      <c r="BO34" s="1">
        <v>0</v>
      </c>
      <c r="BP34" s="1">
        <v>1</v>
      </c>
      <c r="BQ34" s="1">
        <v>1</v>
      </c>
      <c r="BR34" s="3">
        <v>42488</v>
      </c>
      <c r="BS34" s="1" t="s">
        <v>61</v>
      </c>
      <c r="BT34" s="12" t="s">
        <v>60</v>
      </c>
      <c r="BU34" s="1">
        <v>5</v>
      </c>
      <c r="BV34" s="1">
        <v>1</v>
      </c>
      <c r="BW34" s="1">
        <v>7.1</v>
      </c>
      <c r="BX34" s="1">
        <v>0.55500000000000005</v>
      </c>
      <c r="BY34" s="1">
        <v>0.36</v>
      </c>
      <c r="BZ34" s="1">
        <v>13.1</v>
      </c>
      <c r="CA34" s="1">
        <v>202</v>
      </c>
      <c r="CB34" s="1">
        <v>1.75</v>
      </c>
      <c r="CC34" s="1">
        <v>18.8</v>
      </c>
      <c r="CD34" s="1">
        <v>4.7</v>
      </c>
      <c r="CE34" s="1">
        <v>1</v>
      </c>
      <c r="CF34" s="3">
        <v>42563</v>
      </c>
      <c r="CG34" s="7">
        <f>CF34-AJ34</f>
        <v>39</v>
      </c>
      <c r="CH34" s="12" t="s">
        <v>2004</v>
      </c>
      <c r="CI34" s="12" t="s">
        <v>183</v>
      </c>
      <c r="CJ34" s="17" t="s">
        <v>182</v>
      </c>
      <c r="CK34" s="1" t="s">
        <v>2016</v>
      </c>
      <c r="CL34" s="1" t="s">
        <v>1109</v>
      </c>
      <c r="CM34" s="1">
        <v>0</v>
      </c>
      <c r="CO34" s="1" t="s">
        <v>2015</v>
      </c>
      <c r="CQ34" s="1" t="s">
        <v>2014</v>
      </c>
      <c r="CR34" s="1">
        <v>2.2000000000000002</v>
      </c>
      <c r="CS34" s="1" t="s">
        <v>1014</v>
      </c>
      <c r="CT34" s="1" t="s">
        <v>511</v>
      </c>
      <c r="CU34" s="1" t="s">
        <v>1271</v>
      </c>
      <c r="CV34" s="1">
        <v>0</v>
      </c>
      <c r="CW34" s="1">
        <v>3.7</v>
      </c>
      <c r="CX34" s="1">
        <v>14.8</v>
      </c>
      <c r="CY34" s="1">
        <v>0.2</v>
      </c>
      <c r="CZ34" s="1">
        <v>5</v>
      </c>
      <c r="DA34" s="1">
        <v>81</v>
      </c>
      <c r="DB34" s="2">
        <f>CZ34/DA34*100</f>
        <v>6.1728395061728394</v>
      </c>
      <c r="DC34" s="1">
        <v>1</v>
      </c>
      <c r="DD34" s="1">
        <v>0</v>
      </c>
      <c r="DE34" s="1">
        <v>0</v>
      </c>
      <c r="DF34" s="1">
        <v>0</v>
      </c>
      <c r="DG34" s="26" t="s">
        <v>2013</v>
      </c>
      <c r="DH34" s="7">
        <v>0</v>
      </c>
      <c r="DI34" s="7">
        <v>1</v>
      </c>
      <c r="DJ34" s="3">
        <v>44251</v>
      </c>
      <c r="DK34" s="1" t="s">
        <v>75</v>
      </c>
      <c r="DL34" s="12">
        <f>(DJ34-I34)/365.25*12</f>
        <v>57.921971252566735</v>
      </c>
      <c r="DM34" s="1">
        <v>0</v>
      </c>
      <c r="DN34" s="1" t="s">
        <v>45</v>
      </c>
      <c r="DO34" s="1" t="s">
        <v>45</v>
      </c>
      <c r="DP34" s="6" t="s">
        <v>45</v>
      </c>
      <c r="DQ34" s="7">
        <v>0</v>
      </c>
      <c r="DR34" s="3" t="s">
        <v>45</v>
      </c>
      <c r="DS34" s="10">
        <f>IF(DQ34=1, (DR34-$I34)/365.25*12, IF(DQ34=0, $DL34, "ERROR"))</f>
        <v>57.921971252566735</v>
      </c>
      <c r="DT34" s="7">
        <v>0</v>
      </c>
      <c r="DU34" s="7">
        <v>0</v>
      </c>
      <c r="DV34" s="7">
        <v>0</v>
      </c>
      <c r="DW34" s="16">
        <f>DU34*(1-DV34)</f>
        <v>0</v>
      </c>
      <c r="DX34" s="16">
        <f>(1-DU34)*DV34</f>
        <v>0</v>
      </c>
      <c r="DY34" s="16">
        <f>DU34*DV34</f>
        <v>0</v>
      </c>
      <c r="DZ34" s="3" t="s">
        <v>45</v>
      </c>
      <c r="EA34" s="10">
        <f>IF(DT34=1, (DZ34-$I34)/365.25*12, IF(DT34=0, $DL34, "ERROR"))</f>
        <v>57.921971252566735</v>
      </c>
      <c r="EB34" s="7">
        <v>0</v>
      </c>
      <c r="EC34" s="7">
        <v>0</v>
      </c>
      <c r="ED34" s="16">
        <f>1-((1-DQ34)*(1-DT34))</f>
        <v>0</v>
      </c>
      <c r="EE34" s="11" t="s">
        <v>45</v>
      </c>
      <c r="EF34" s="1" t="s">
        <v>45</v>
      </c>
      <c r="EG34" s="7" t="s">
        <v>45</v>
      </c>
      <c r="EH34" s="1" t="s">
        <v>45</v>
      </c>
      <c r="EI34" s="1">
        <v>0</v>
      </c>
      <c r="EJ34" s="16">
        <f>(1-DQ34)*DX34*(1-EI34)</f>
        <v>0</v>
      </c>
      <c r="EK34" s="1" t="s">
        <v>45</v>
      </c>
      <c r="EL34" s="10">
        <f>IF(EI34=1, (EK34-$I34)/365.25*12, IF(EI34=0, $DL34, "ERROR"))</f>
        <v>57.921971252566735</v>
      </c>
      <c r="EM34" s="1" t="s">
        <v>45</v>
      </c>
      <c r="EN34" s="1">
        <v>0</v>
      </c>
      <c r="EO34" s="1">
        <v>0</v>
      </c>
      <c r="EP34" s="1">
        <v>0</v>
      </c>
      <c r="EQ34" s="1">
        <v>0</v>
      </c>
      <c r="ER34" s="1">
        <v>0</v>
      </c>
      <c r="ES34" s="1">
        <v>0</v>
      </c>
      <c r="ET34" s="1">
        <v>0</v>
      </c>
      <c r="EU34" s="1">
        <v>0</v>
      </c>
      <c r="EV34" s="1">
        <v>0</v>
      </c>
      <c r="EW34" s="1">
        <f>1-((1-EP34)*(1-ET34)*(1-EU34)*(1-EV34))</f>
        <v>0</v>
      </c>
      <c r="EX34" s="7">
        <v>0</v>
      </c>
      <c r="EY34" s="7">
        <v>0</v>
      </c>
      <c r="EZ34" s="7">
        <v>0</v>
      </c>
      <c r="FA34" s="7">
        <v>0</v>
      </c>
      <c r="FB34" s="1" t="s">
        <v>45</v>
      </c>
      <c r="FC34" s="1">
        <v>0</v>
      </c>
      <c r="FD34" s="1">
        <v>1</v>
      </c>
      <c r="FF34" s="1" t="s">
        <v>45</v>
      </c>
      <c r="FG34" s="3">
        <f>IF(FC34=1, FF34, IF(FD34=1, 44348, DJ34))</f>
        <v>44348</v>
      </c>
      <c r="FH34" s="13">
        <f>(FG34-I34)/365.25*12</f>
        <v>61.108829568788501</v>
      </c>
      <c r="FI34" s="13"/>
      <c r="FJ34" s="14">
        <f>IF(OR(DM34,FC34), 1, 0)</f>
        <v>0</v>
      </c>
      <c r="FK34" s="11">
        <f>IF(DM34=1,IF(FC34=1,MIN(DO34,FF34),DO34),IF(FC34=1,FF34,DJ34))</f>
        <v>44251</v>
      </c>
      <c r="FL34" s="13">
        <f>(FK34-$I34)/365.25*12</f>
        <v>57.921971252566735</v>
      </c>
      <c r="FM34" s="14">
        <f>IF(OR(ED34,FC34), 1, 0)</f>
        <v>0</v>
      </c>
      <c r="FN34" s="11">
        <f>IF(ED34=1,IF(FC34=1,MIN(EE34,FF34),EE34),IF(FC34=1,FF34,DJ34))</f>
        <v>44251</v>
      </c>
      <c r="FO34" s="13">
        <f>(FN34-$I34)/365.25*12</f>
        <v>57.921971252566735</v>
      </c>
      <c r="FP34" s="14">
        <f>IF(OR(EI34,FC34), 1, 0)</f>
        <v>0</v>
      </c>
      <c r="FQ34" s="11">
        <f>IF(EI34=1,IF(FC34=1,MIN(EK34,FF34),EK34),IF(FC34=1,FF34,DJ34))</f>
        <v>44251</v>
      </c>
      <c r="FR34" s="13">
        <f>(FQ34-$I34)/365.25*12</f>
        <v>57.921971252566735</v>
      </c>
      <c r="FS34" s="1" t="s">
        <v>45</v>
      </c>
      <c r="FT34" s="1" t="s">
        <v>1383</v>
      </c>
      <c r="FU34" s="1">
        <v>0</v>
      </c>
      <c r="FV34" s="1">
        <v>0</v>
      </c>
      <c r="FW34" s="1">
        <v>0</v>
      </c>
      <c r="FX34" s="1">
        <v>0</v>
      </c>
      <c r="FY34" s="1" t="s">
        <v>2012</v>
      </c>
    </row>
    <row r="35" spans="1:182" ht="12.75" hidden="1" customHeight="1">
      <c r="A35" s="1" t="s">
        <v>2011</v>
      </c>
      <c r="B35" s="15" t="s">
        <v>2010</v>
      </c>
      <c r="C35" s="1">
        <v>45927014</v>
      </c>
      <c r="D35" s="1">
        <v>0</v>
      </c>
      <c r="E35" s="1">
        <v>0</v>
      </c>
      <c r="F35" s="1">
        <v>0</v>
      </c>
      <c r="G35" s="12">
        <v>1</v>
      </c>
      <c r="I35" s="3">
        <v>41884</v>
      </c>
      <c r="J35" s="3">
        <v>41852</v>
      </c>
      <c r="K35" s="3">
        <v>19823</v>
      </c>
      <c r="L35" s="5">
        <f>(DAYS360(K35,I35))/365</f>
        <v>59.56986301369863</v>
      </c>
      <c r="M35" s="1" t="s">
        <v>5</v>
      </c>
      <c r="N35" s="1">
        <v>1</v>
      </c>
      <c r="O35" s="1">
        <v>0</v>
      </c>
      <c r="P35" s="1" t="s">
        <v>81</v>
      </c>
      <c r="Q35" s="1">
        <v>2</v>
      </c>
      <c r="R35" s="1" t="s">
        <v>209</v>
      </c>
      <c r="S35" s="1" t="s">
        <v>1837</v>
      </c>
      <c r="T35" s="1" t="s">
        <v>98</v>
      </c>
      <c r="U35" s="1">
        <v>1</v>
      </c>
      <c r="V35" s="1">
        <v>1</v>
      </c>
      <c r="W35" s="1">
        <v>0</v>
      </c>
      <c r="X35" s="1" t="s">
        <v>1978</v>
      </c>
      <c r="Y35" s="1">
        <v>4</v>
      </c>
      <c r="Z35" s="1">
        <v>2</v>
      </c>
      <c r="AA35" s="1" t="s">
        <v>96</v>
      </c>
      <c r="AC35" s="1">
        <v>5</v>
      </c>
      <c r="AD35" s="1" t="s">
        <v>2009</v>
      </c>
      <c r="AE35" s="1" t="s">
        <v>2008</v>
      </c>
      <c r="AF35" s="1">
        <v>1</v>
      </c>
      <c r="AG35" s="1">
        <v>1</v>
      </c>
      <c r="AH35" s="1">
        <v>1</v>
      </c>
      <c r="AI35" s="3">
        <v>41884</v>
      </c>
      <c r="AJ35" s="3">
        <v>41925</v>
      </c>
      <c r="AK35" s="6" t="s">
        <v>2007</v>
      </c>
      <c r="AL35" s="6" t="s">
        <v>2006</v>
      </c>
      <c r="AM35" s="1">
        <v>0</v>
      </c>
      <c r="AN35" s="1">
        <v>0</v>
      </c>
      <c r="AO35" s="1">
        <v>0</v>
      </c>
      <c r="AP35" s="1">
        <v>0</v>
      </c>
      <c r="AQ35" s="1">
        <v>0</v>
      </c>
      <c r="AR35" s="1">
        <v>0</v>
      </c>
      <c r="AS35" s="1">
        <v>0</v>
      </c>
      <c r="AT35" s="1">
        <v>0</v>
      </c>
      <c r="AU35" s="6" t="s">
        <v>1141</v>
      </c>
      <c r="AV35" s="1">
        <v>0.5</v>
      </c>
      <c r="AW35" s="1"/>
      <c r="AX35" s="6" t="s">
        <v>45</v>
      </c>
      <c r="AY35" s="6" t="s">
        <v>45</v>
      </c>
      <c r="AZ35" s="6" t="s">
        <v>111</v>
      </c>
      <c r="BA35" s="1">
        <v>9.9</v>
      </c>
      <c r="BB35" s="1">
        <v>254.2</v>
      </c>
      <c r="BC35" s="1">
        <v>3</v>
      </c>
      <c r="BD35" s="1">
        <v>2</v>
      </c>
      <c r="BE35" s="1">
        <v>490.8</v>
      </c>
      <c r="BF35" s="1" t="s">
        <v>2005</v>
      </c>
      <c r="BG35" s="1">
        <v>45</v>
      </c>
      <c r="BH35" s="1">
        <v>45</v>
      </c>
      <c r="BI35" s="1">
        <v>0</v>
      </c>
      <c r="BJ35" s="1">
        <v>0</v>
      </c>
      <c r="BK35" s="1">
        <f>BH35+BI35</f>
        <v>45</v>
      </c>
      <c r="BL35" s="1">
        <v>25</v>
      </c>
      <c r="BM35" s="1">
        <v>1.8</v>
      </c>
      <c r="BN35" s="1" t="s">
        <v>110</v>
      </c>
      <c r="BO35" s="1">
        <v>0</v>
      </c>
      <c r="BP35" s="1">
        <v>1</v>
      </c>
      <c r="BQ35" s="1">
        <v>1</v>
      </c>
      <c r="BR35" s="3">
        <v>41884</v>
      </c>
      <c r="BS35" s="1" t="s">
        <v>61</v>
      </c>
      <c r="BT35" s="12" t="s">
        <v>60</v>
      </c>
      <c r="BU35" s="1">
        <v>6</v>
      </c>
      <c r="BV35" s="1">
        <v>1</v>
      </c>
      <c r="BW35" s="1">
        <v>8.01</v>
      </c>
      <c r="BX35" s="1">
        <v>0.65200000000000002</v>
      </c>
      <c r="BY35" s="1">
        <v>0.26700000000000002</v>
      </c>
      <c r="BZ35" s="1">
        <v>15.4</v>
      </c>
      <c r="CA35" s="1">
        <v>188</v>
      </c>
      <c r="CB35" s="1">
        <v>1.59</v>
      </c>
      <c r="CC35" s="1">
        <v>13.2</v>
      </c>
      <c r="CD35" s="1">
        <v>5.6</v>
      </c>
      <c r="CE35" s="1">
        <v>1</v>
      </c>
      <c r="CF35" s="3">
        <v>41984</v>
      </c>
      <c r="CG35" s="7">
        <f>CF35-AJ35</f>
        <v>59</v>
      </c>
      <c r="CH35" s="1" t="s">
        <v>2004</v>
      </c>
      <c r="CI35" s="12" t="s">
        <v>183</v>
      </c>
      <c r="CJ35" s="17" t="s">
        <v>182</v>
      </c>
      <c r="CK35" s="1" t="s">
        <v>2003</v>
      </c>
      <c r="CL35" s="1" t="s">
        <v>45</v>
      </c>
      <c r="CM35" s="1">
        <v>0</v>
      </c>
      <c r="CO35" s="1" t="s">
        <v>2002</v>
      </c>
      <c r="CQ35" s="1" t="s">
        <v>45</v>
      </c>
      <c r="CR35" s="1">
        <v>0</v>
      </c>
      <c r="CS35" s="1" t="s">
        <v>45</v>
      </c>
      <c r="CT35" s="1" t="s">
        <v>45</v>
      </c>
      <c r="CU35" s="1" t="s">
        <v>45</v>
      </c>
      <c r="CV35" s="1">
        <v>0</v>
      </c>
      <c r="CW35" s="1" t="s">
        <v>45</v>
      </c>
      <c r="CX35" s="1" t="s">
        <v>45</v>
      </c>
      <c r="CY35" s="1" t="s">
        <v>45</v>
      </c>
      <c r="CZ35" s="1">
        <v>7</v>
      </c>
      <c r="DA35" s="1">
        <v>66</v>
      </c>
      <c r="DB35" s="2">
        <f>CZ35/DA35*100</f>
        <v>10.606060606060606</v>
      </c>
      <c r="DC35" s="1">
        <v>0</v>
      </c>
      <c r="DD35" s="1">
        <v>0</v>
      </c>
      <c r="DE35" s="1">
        <v>0</v>
      </c>
      <c r="DF35" s="1">
        <v>0</v>
      </c>
      <c r="DG35" s="26" t="s">
        <v>2001</v>
      </c>
      <c r="DH35" s="7">
        <v>0</v>
      </c>
      <c r="DI35" s="7">
        <v>1</v>
      </c>
      <c r="DJ35" s="3">
        <v>42513</v>
      </c>
      <c r="DK35" s="1" t="s">
        <v>2000</v>
      </c>
      <c r="DL35" s="12">
        <f>(DJ35-I35)/365.25*12</f>
        <v>20.6652977412731</v>
      </c>
      <c r="DM35" s="1">
        <v>1</v>
      </c>
      <c r="DN35" s="1" t="s">
        <v>1997</v>
      </c>
      <c r="DO35" s="3">
        <v>42333</v>
      </c>
      <c r="DP35" s="6" t="s">
        <v>1436</v>
      </c>
      <c r="DQ35" s="7">
        <v>0</v>
      </c>
      <c r="DR35" s="3" t="s">
        <v>45</v>
      </c>
      <c r="DS35" s="10">
        <f>IF(DQ35=1, (DR35-$I35)/365.25*12, IF(DQ35=0, $DL35, "ERROR"))</f>
        <v>20.6652977412731</v>
      </c>
      <c r="DT35" s="7">
        <v>1</v>
      </c>
      <c r="DU35" s="7">
        <v>0</v>
      </c>
      <c r="DV35" s="7">
        <v>1</v>
      </c>
      <c r="DW35" s="16">
        <f>DU35*(1-DV35)</f>
        <v>0</v>
      </c>
      <c r="DX35" s="16">
        <f>(1-DU35)*DV35</f>
        <v>1</v>
      </c>
      <c r="DY35" s="16">
        <f>DU35*DV35</f>
        <v>0</v>
      </c>
      <c r="DZ35" s="3">
        <v>42333</v>
      </c>
      <c r="EA35" s="10">
        <f>IF(DT35=1, (DZ35-$I35)/365.25*12, IF(DT35=0, $DL35, "ERROR"))</f>
        <v>14.751540041067763</v>
      </c>
      <c r="EB35" s="7">
        <v>1</v>
      </c>
      <c r="EC35" s="7">
        <v>0</v>
      </c>
      <c r="ED35" s="16">
        <f>1-((1-DQ35)*(1-DT35))</f>
        <v>1</v>
      </c>
      <c r="EE35" s="11">
        <f>MIN(DR35,DZ35)</f>
        <v>42333</v>
      </c>
      <c r="EF35" s="1" t="s">
        <v>1999</v>
      </c>
      <c r="EG35" s="7" t="s">
        <v>49</v>
      </c>
      <c r="EH35" s="1" t="s">
        <v>1998</v>
      </c>
      <c r="EI35" s="1">
        <v>1</v>
      </c>
      <c r="EJ35" s="16">
        <f>(1-DQ35)*DX35*(1-EI35)</f>
        <v>0</v>
      </c>
      <c r="EK35" s="3">
        <v>42333</v>
      </c>
      <c r="EL35" s="10">
        <f>IF(EI35=1, (EK35-$I35)/365.25*12, IF(EI35=0, $DL35, "ERROR"))</f>
        <v>14.751540041067763</v>
      </c>
      <c r="EM35" s="1" t="s">
        <v>1997</v>
      </c>
      <c r="EN35" s="7">
        <v>0</v>
      </c>
      <c r="EO35" s="7">
        <v>0</v>
      </c>
      <c r="EP35" s="7">
        <v>1</v>
      </c>
      <c r="EQ35" s="7">
        <v>1</v>
      </c>
      <c r="ER35" s="7">
        <v>1</v>
      </c>
      <c r="ES35" s="7">
        <v>1</v>
      </c>
      <c r="ET35" s="7">
        <v>0</v>
      </c>
      <c r="EU35" s="7">
        <v>0</v>
      </c>
      <c r="EV35" s="7">
        <v>0</v>
      </c>
      <c r="EW35" s="1">
        <f>1-((1-EP35)*(1-ET35)*(1-EU35)*(1-EV35))</f>
        <v>1</v>
      </c>
      <c r="EX35" s="7">
        <v>1</v>
      </c>
      <c r="EY35" s="7">
        <v>0</v>
      </c>
      <c r="EZ35" s="7">
        <v>1</v>
      </c>
      <c r="FA35" s="7">
        <v>0</v>
      </c>
      <c r="FB35" s="1" t="s">
        <v>45</v>
      </c>
      <c r="FC35" s="1">
        <v>1</v>
      </c>
      <c r="FD35" s="1">
        <v>1</v>
      </c>
      <c r="FF35" s="3">
        <v>42551</v>
      </c>
      <c r="FG35" s="3">
        <f>IF(FC35=1, FF35, IF(FD35=1, 44348, DJ35))</f>
        <v>42551</v>
      </c>
      <c r="FH35" s="13">
        <f>(FG35-I35)/365.25*12</f>
        <v>21.913757700205338</v>
      </c>
      <c r="FI35" s="13"/>
      <c r="FJ35" s="14">
        <f>IF(OR(DM35,FC35), 1, 0)</f>
        <v>1</v>
      </c>
      <c r="FK35" s="11">
        <f>IF(DM35=1,IF(FC35=1,MIN(DO35,FF35),DO35),IF(FC35=1,FF35,DJ35))</f>
        <v>42333</v>
      </c>
      <c r="FL35" s="13">
        <f>(FK35-$I35)/365.25*12</f>
        <v>14.751540041067763</v>
      </c>
      <c r="FM35" s="14">
        <f>IF(OR(ED35,FC35), 1, 0)</f>
        <v>1</v>
      </c>
      <c r="FN35" s="11">
        <f>IF(ED35=1,IF(FC35=1,MIN(EE35,FF35),EE35),IF(FC35=1,FF35,DJ35))</f>
        <v>42333</v>
      </c>
      <c r="FO35" s="13">
        <f>(FN35-$I35)/365.25*12</f>
        <v>14.751540041067763</v>
      </c>
      <c r="FP35" s="14">
        <f>IF(OR(EI35,FC35), 1, 0)</f>
        <v>1</v>
      </c>
      <c r="FQ35" s="11">
        <f>IF(EI35=1,IF(FC35=1,MIN(EK35,FF35),EK35),IF(FC35=1,FF35,DJ35))</f>
        <v>42333</v>
      </c>
      <c r="FR35" s="13">
        <f>(FQ35-$I35)/365.25*12</f>
        <v>14.751540041067763</v>
      </c>
      <c r="FS35" s="1" t="s">
        <v>45</v>
      </c>
      <c r="FT35" s="1" t="s">
        <v>1996</v>
      </c>
      <c r="FU35" s="1">
        <v>0</v>
      </c>
      <c r="FV35" s="1">
        <v>0</v>
      </c>
      <c r="FW35" s="1">
        <v>0</v>
      </c>
      <c r="FX35" s="1">
        <v>0</v>
      </c>
      <c r="FY35" s="1" t="s">
        <v>1995</v>
      </c>
    </row>
    <row r="36" spans="1:182" ht="12.75" hidden="1" customHeight="1">
      <c r="A36" s="1" t="s">
        <v>1994</v>
      </c>
      <c r="B36" s="15" t="s">
        <v>1993</v>
      </c>
      <c r="C36" s="1">
        <v>49073010</v>
      </c>
      <c r="D36" s="1">
        <v>0</v>
      </c>
      <c r="E36" s="1">
        <v>0</v>
      </c>
      <c r="F36" s="1">
        <v>0</v>
      </c>
      <c r="G36" s="12">
        <v>1</v>
      </c>
      <c r="I36" s="3">
        <v>43103</v>
      </c>
      <c r="J36" s="3">
        <v>43080</v>
      </c>
      <c r="K36" s="3">
        <v>19681</v>
      </c>
      <c r="L36" s="5">
        <f>(DAYS360(K36,I36))/365</f>
        <v>63.246575342465754</v>
      </c>
      <c r="M36" s="1" t="s">
        <v>5</v>
      </c>
      <c r="N36" s="1">
        <v>1</v>
      </c>
      <c r="O36" s="1">
        <v>0</v>
      </c>
      <c r="P36" s="1" t="s">
        <v>69</v>
      </c>
      <c r="Q36" s="1">
        <v>1</v>
      </c>
      <c r="R36" s="1" t="s">
        <v>209</v>
      </c>
      <c r="S36" s="1">
        <v>26</v>
      </c>
      <c r="T36" s="1" t="s">
        <v>140</v>
      </c>
      <c r="U36" s="1">
        <v>1</v>
      </c>
      <c r="V36" s="1">
        <v>0</v>
      </c>
      <c r="W36" s="1">
        <v>0</v>
      </c>
      <c r="X36" s="1" t="s">
        <v>117</v>
      </c>
      <c r="Y36" s="1">
        <v>3</v>
      </c>
      <c r="Z36" s="1">
        <v>2</v>
      </c>
      <c r="AA36" s="1" t="s">
        <v>116</v>
      </c>
      <c r="AC36" s="1">
        <v>3</v>
      </c>
      <c r="AD36" s="1" t="s">
        <v>1992</v>
      </c>
      <c r="AE36" s="1" t="s">
        <v>114</v>
      </c>
      <c r="AF36" s="1">
        <v>0</v>
      </c>
      <c r="AG36" s="1">
        <v>0</v>
      </c>
      <c r="AH36" s="1">
        <v>0</v>
      </c>
      <c r="AI36" s="3">
        <v>43103</v>
      </c>
      <c r="AJ36" s="3">
        <v>43137</v>
      </c>
      <c r="AK36" s="6" t="s">
        <v>1991</v>
      </c>
      <c r="AL36" s="6" t="s">
        <v>1485</v>
      </c>
      <c r="AM36" s="1">
        <v>0</v>
      </c>
      <c r="AN36" s="1">
        <v>0</v>
      </c>
      <c r="AO36" s="1">
        <v>0</v>
      </c>
      <c r="AP36" s="1">
        <v>0</v>
      </c>
      <c r="AQ36" s="1">
        <v>0</v>
      </c>
      <c r="AR36" s="1">
        <v>0</v>
      </c>
      <c r="AS36" s="12">
        <f>IF(AND(AM36=0,AU36&lt;=2), 1, 0)</f>
        <v>1</v>
      </c>
      <c r="AT36" s="12">
        <v>1</v>
      </c>
      <c r="AU36" s="1">
        <v>2</v>
      </c>
      <c r="AV36" s="1">
        <v>0.7</v>
      </c>
      <c r="AW36" s="1">
        <v>0.5</v>
      </c>
      <c r="AX36" s="6" t="s">
        <v>45</v>
      </c>
      <c r="AY36" s="6" t="s">
        <v>45</v>
      </c>
      <c r="AZ36" s="6" t="s">
        <v>46</v>
      </c>
      <c r="BA36" s="1">
        <f>6.9-1.5+0.3</f>
        <v>5.7</v>
      </c>
      <c r="BB36" s="1">
        <v>187.8</v>
      </c>
      <c r="BC36" s="1">
        <v>2</v>
      </c>
      <c r="BD36" s="1">
        <v>2</v>
      </c>
      <c r="BE36" s="1">
        <v>468.8</v>
      </c>
      <c r="BF36" s="1" t="s">
        <v>1484</v>
      </c>
      <c r="BG36" s="1">
        <v>45</v>
      </c>
      <c r="BH36" s="1">
        <v>45</v>
      </c>
      <c r="BI36" s="1">
        <v>0</v>
      </c>
      <c r="BJ36" s="1">
        <v>0</v>
      </c>
      <c r="BK36" s="1">
        <f>BH36+BI36</f>
        <v>45</v>
      </c>
      <c r="BL36" s="1">
        <v>25</v>
      </c>
      <c r="BM36" s="1">
        <v>1.8</v>
      </c>
      <c r="BN36" s="1" t="s">
        <v>62</v>
      </c>
      <c r="BO36" s="1">
        <v>1</v>
      </c>
      <c r="BP36" s="1">
        <v>1</v>
      </c>
      <c r="BQ36" s="1">
        <v>1</v>
      </c>
      <c r="BR36" s="3">
        <v>43103</v>
      </c>
      <c r="BS36" s="1" t="s">
        <v>61</v>
      </c>
      <c r="BT36" s="12" t="s">
        <v>60</v>
      </c>
      <c r="BU36" s="1">
        <v>5</v>
      </c>
      <c r="BV36" s="1">
        <v>1</v>
      </c>
      <c r="BW36" s="1">
        <v>3.9</v>
      </c>
      <c r="BX36" s="1">
        <v>0.57899999999999996</v>
      </c>
      <c r="BY36" s="1">
        <v>0.223</v>
      </c>
      <c r="BZ36" s="1">
        <v>13.9</v>
      </c>
      <c r="CA36" s="1">
        <v>169</v>
      </c>
      <c r="CB36" s="1">
        <v>1.61</v>
      </c>
      <c r="CC36" s="1">
        <v>14.6</v>
      </c>
      <c r="CD36" s="1">
        <v>4.4000000000000004</v>
      </c>
      <c r="CE36" s="1">
        <v>1</v>
      </c>
      <c r="CF36" s="3">
        <v>43174</v>
      </c>
      <c r="CG36" s="7">
        <f>CF36-AJ36</f>
        <v>37</v>
      </c>
      <c r="CH36" s="1" t="s">
        <v>1469</v>
      </c>
      <c r="CI36" s="12" t="s">
        <v>730</v>
      </c>
      <c r="CJ36" s="17" t="s">
        <v>182</v>
      </c>
      <c r="CK36" s="1" t="s">
        <v>859</v>
      </c>
      <c r="CL36" s="1" t="s">
        <v>45</v>
      </c>
      <c r="CM36" s="1">
        <v>0</v>
      </c>
      <c r="CO36" s="1" t="s">
        <v>1004</v>
      </c>
      <c r="CQ36" s="1" t="s">
        <v>45</v>
      </c>
      <c r="CR36" s="1">
        <v>0</v>
      </c>
      <c r="CS36" s="1" t="s">
        <v>45</v>
      </c>
      <c r="CT36" s="1" t="s">
        <v>45</v>
      </c>
      <c r="CU36" s="1" t="s">
        <v>45</v>
      </c>
      <c r="CV36" s="1">
        <v>0</v>
      </c>
      <c r="CW36" s="1" t="s">
        <v>45</v>
      </c>
      <c r="CX36" s="1" t="s">
        <v>45</v>
      </c>
      <c r="CY36" s="1" t="s">
        <v>45</v>
      </c>
      <c r="CZ36" s="1">
        <v>3</v>
      </c>
      <c r="DA36" s="1">
        <v>69</v>
      </c>
      <c r="DB36" s="2">
        <f>CZ36/DA36*100</f>
        <v>4.3478260869565215</v>
      </c>
      <c r="DC36" s="1">
        <v>0</v>
      </c>
      <c r="DD36" s="1">
        <v>0</v>
      </c>
      <c r="DE36" s="1">
        <v>0</v>
      </c>
      <c r="DF36" s="1">
        <v>1</v>
      </c>
      <c r="DG36" s="26" t="s">
        <v>1990</v>
      </c>
      <c r="DH36" s="7">
        <v>0</v>
      </c>
      <c r="DI36" s="7">
        <v>0</v>
      </c>
      <c r="DJ36" s="3">
        <v>43369</v>
      </c>
      <c r="DK36" s="1" t="s">
        <v>1119</v>
      </c>
      <c r="DL36" s="12">
        <f>(DJ36-I36)/365.25*12</f>
        <v>8.7392197125256672</v>
      </c>
      <c r="DM36" s="1">
        <v>1</v>
      </c>
      <c r="DN36" s="1" t="s">
        <v>337</v>
      </c>
      <c r="DO36" s="3">
        <v>43341</v>
      </c>
      <c r="DP36" s="6" t="s">
        <v>1436</v>
      </c>
      <c r="DQ36" s="7">
        <v>0</v>
      </c>
      <c r="DR36" s="3" t="s">
        <v>45</v>
      </c>
      <c r="DS36" s="10">
        <f>IF(DQ36=1, (DR36-$I36)/365.25*12, IF(DQ36=0, $DL36, "ERROR"))</f>
        <v>8.7392197125256672</v>
      </c>
      <c r="DT36" s="7">
        <v>0</v>
      </c>
      <c r="DU36" s="7">
        <v>0</v>
      </c>
      <c r="DV36" s="7">
        <v>0</v>
      </c>
      <c r="DW36" s="16">
        <f>DU36*(1-DV36)</f>
        <v>0</v>
      </c>
      <c r="DX36" s="16">
        <f>(1-DU36)*DV36</f>
        <v>0</v>
      </c>
      <c r="DY36" s="16">
        <f>DU36*DV36</f>
        <v>0</v>
      </c>
      <c r="DZ36" s="3" t="s">
        <v>45</v>
      </c>
      <c r="EA36" s="10">
        <f>IF(DT36=1, (DZ36-$I36)/365.25*12, IF(DT36=0, $DL36, "ERROR"))</f>
        <v>8.7392197125256672</v>
      </c>
      <c r="EB36" s="7">
        <v>0</v>
      </c>
      <c r="EC36" s="7">
        <v>0</v>
      </c>
      <c r="ED36" s="16">
        <f>1-((1-DQ36)*(1-DT36))</f>
        <v>0</v>
      </c>
      <c r="EE36" s="11" t="s">
        <v>45</v>
      </c>
      <c r="EF36" s="1" t="s">
        <v>45</v>
      </c>
      <c r="EG36" s="7" t="s">
        <v>45</v>
      </c>
      <c r="EH36" s="1" t="s">
        <v>45</v>
      </c>
      <c r="EI36" s="1">
        <v>1</v>
      </c>
      <c r="EJ36" s="16">
        <f>(1-DQ36)*DX36*(1-EI36)</f>
        <v>0</v>
      </c>
      <c r="EK36" s="3">
        <v>43341</v>
      </c>
      <c r="EL36" s="10">
        <f>IF(EI36=1, (EK36-$I36)/365.25*12, IF(EI36=0, $DL36, "ERROR"))</f>
        <v>7.8193018480492817</v>
      </c>
      <c r="EM36" s="1" t="s">
        <v>337</v>
      </c>
      <c r="EN36" s="7">
        <v>1</v>
      </c>
      <c r="EO36" s="7">
        <v>0</v>
      </c>
      <c r="EP36" s="7">
        <v>0</v>
      </c>
      <c r="EQ36" s="7">
        <v>0</v>
      </c>
      <c r="ER36" s="7">
        <v>0</v>
      </c>
      <c r="ES36" s="7">
        <v>0</v>
      </c>
      <c r="ET36" s="7">
        <v>0</v>
      </c>
      <c r="EU36" s="7">
        <v>0</v>
      </c>
      <c r="EV36" s="7">
        <v>0</v>
      </c>
      <c r="EW36" s="1">
        <f>1-((1-EP36)*(1-ET36)*(1-EU36)*(1-EV36))</f>
        <v>0</v>
      </c>
      <c r="EX36" s="7">
        <v>0</v>
      </c>
      <c r="EY36" s="7">
        <v>0</v>
      </c>
      <c r="EZ36" s="7">
        <v>0</v>
      </c>
      <c r="FA36" s="7">
        <v>0</v>
      </c>
      <c r="FB36" s="1" t="s">
        <v>45</v>
      </c>
      <c r="FC36" s="1">
        <v>1</v>
      </c>
      <c r="FD36" s="1">
        <v>1</v>
      </c>
      <c r="FF36" s="3">
        <v>43374</v>
      </c>
      <c r="FG36" s="3">
        <f>IF(FC36=1, FF36, IF(FD36=1, 44348, DJ36))</f>
        <v>43374</v>
      </c>
      <c r="FH36" s="13">
        <f>(FG36-I36)/365.25*12</f>
        <v>8.9034907597535948</v>
      </c>
      <c r="FI36" s="13"/>
      <c r="FJ36" s="14">
        <f>IF(OR(DM36,FC36), 1, 0)</f>
        <v>1</v>
      </c>
      <c r="FK36" s="11">
        <f>IF(DM36=1,IF(FC36=1,MIN(DO36,FF36),DO36),IF(FC36=1,FF36,DJ36))</f>
        <v>43341</v>
      </c>
      <c r="FL36" s="13">
        <f>(FK36-$I36)/365.25*12</f>
        <v>7.8193018480492817</v>
      </c>
      <c r="FM36" s="14">
        <f>IF(OR(ED36,FC36), 1, 0)</f>
        <v>1</v>
      </c>
      <c r="FN36" s="11">
        <f>IF(ED36=1,IF(FC36=1,MIN(EE36,FF36),EE36),IF(FC36=1,FF36,DJ36))</f>
        <v>43374</v>
      </c>
      <c r="FO36" s="13">
        <f>(FN36-$I36)/365.25*12</f>
        <v>8.9034907597535948</v>
      </c>
      <c r="FP36" s="14">
        <f>IF(OR(EI36,FC36), 1, 0)</f>
        <v>1</v>
      </c>
      <c r="FQ36" s="11">
        <f>IF(EI36=1,IF(FC36=1,MIN(EK36,FF36),EK36),IF(FC36=1,FF36,DJ36))</f>
        <v>43341</v>
      </c>
      <c r="FR36" s="13">
        <f>(FQ36-$I36)/365.25*12</f>
        <v>7.8193018480492817</v>
      </c>
      <c r="FS36" s="1" t="s">
        <v>45</v>
      </c>
      <c r="FT36" s="1" t="s">
        <v>45</v>
      </c>
      <c r="FU36" s="1">
        <v>0</v>
      </c>
      <c r="FV36" s="1">
        <v>0</v>
      </c>
      <c r="FW36" s="1">
        <v>0</v>
      </c>
      <c r="FX36" s="1">
        <v>0</v>
      </c>
    </row>
    <row r="37" spans="1:182" ht="12.75" hidden="1" customHeight="1">
      <c r="A37" s="1" t="s">
        <v>1989</v>
      </c>
      <c r="B37" s="15" t="s">
        <v>1988</v>
      </c>
      <c r="C37" s="1">
        <v>43791310</v>
      </c>
      <c r="D37" s="1">
        <v>0</v>
      </c>
      <c r="E37" s="1">
        <v>0</v>
      </c>
      <c r="F37" s="1">
        <v>0</v>
      </c>
      <c r="G37" s="12">
        <v>1</v>
      </c>
      <c r="I37" s="3">
        <v>43143</v>
      </c>
      <c r="J37" s="3">
        <v>43111</v>
      </c>
      <c r="K37" s="3">
        <v>14745</v>
      </c>
      <c r="L37" s="5">
        <f>(DAYS360(K37,I37))/365</f>
        <v>76.679452054794524</v>
      </c>
      <c r="M37" s="1" t="s">
        <v>5</v>
      </c>
      <c r="N37" s="1">
        <v>1</v>
      </c>
      <c r="O37" s="1">
        <v>0</v>
      </c>
      <c r="P37" s="1" t="s">
        <v>69</v>
      </c>
      <c r="Q37" s="1">
        <v>1</v>
      </c>
      <c r="R37" s="1" t="s">
        <v>209</v>
      </c>
      <c r="S37" s="1" t="s">
        <v>1514</v>
      </c>
      <c r="T37" s="1" t="s">
        <v>80</v>
      </c>
      <c r="U37" s="1">
        <v>0</v>
      </c>
      <c r="V37" s="1">
        <v>1</v>
      </c>
      <c r="W37" s="1">
        <v>0</v>
      </c>
      <c r="X37" s="1" t="s">
        <v>117</v>
      </c>
      <c r="Y37" s="1">
        <v>3</v>
      </c>
      <c r="Z37" s="1">
        <v>1</v>
      </c>
      <c r="AA37" s="1" t="s">
        <v>116</v>
      </c>
      <c r="AC37" s="1">
        <v>3</v>
      </c>
      <c r="AD37" s="1" t="s">
        <v>1987</v>
      </c>
      <c r="AE37" s="1" t="s">
        <v>114</v>
      </c>
      <c r="AF37" s="1">
        <v>0</v>
      </c>
      <c r="AG37" s="1">
        <v>0</v>
      </c>
      <c r="AH37" s="1">
        <v>0</v>
      </c>
      <c r="AI37" s="3">
        <v>43143</v>
      </c>
      <c r="AJ37" s="3">
        <v>43180</v>
      </c>
      <c r="AK37" s="6" t="s">
        <v>1328</v>
      </c>
      <c r="AL37" s="6" t="s">
        <v>1485</v>
      </c>
      <c r="AM37" s="1">
        <v>0</v>
      </c>
      <c r="AN37" s="1">
        <v>0</v>
      </c>
      <c r="AO37" s="1">
        <v>0</v>
      </c>
      <c r="AP37" s="1">
        <v>0</v>
      </c>
      <c r="AQ37" s="1">
        <v>0</v>
      </c>
      <c r="AR37" s="1">
        <v>0</v>
      </c>
      <c r="AS37" s="12">
        <f>IF(AND(AM37=0,AU37&lt;=2), 1, 0)</f>
        <v>1</v>
      </c>
      <c r="AT37" s="12">
        <v>1</v>
      </c>
      <c r="AU37" s="1">
        <v>2</v>
      </c>
      <c r="AV37" s="1">
        <v>0.5</v>
      </c>
      <c r="AW37" s="1">
        <v>0.5</v>
      </c>
      <c r="AX37" s="6" t="s">
        <v>45</v>
      </c>
      <c r="AY37" s="6" t="s">
        <v>45</v>
      </c>
      <c r="AZ37" s="6" t="s">
        <v>46</v>
      </c>
      <c r="BA37" s="1">
        <f>10.8-5.7+0.3</f>
        <v>5.4</v>
      </c>
      <c r="BB37" s="1">
        <v>153.69999999999999</v>
      </c>
      <c r="BC37" s="1">
        <f>5.4-1.5+0.3</f>
        <v>4.2</v>
      </c>
      <c r="BD37" s="1">
        <v>2</v>
      </c>
      <c r="BE37" s="1">
        <v>374.3</v>
      </c>
      <c r="BF37" s="1" t="s">
        <v>1484</v>
      </c>
      <c r="BG37" s="1">
        <v>45</v>
      </c>
      <c r="BH37" s="1">
        <v>45</v>
      </c>
      <c r="BI37" s="1">
        <v>0</v>
      </c>
      <c r="BJ37" s="1">
        <v>0</v>
      </c>
      <c r="BK37" s="1">
        <f>BH37+BI37</f>
        <v>45</v>
      </c>
      <c r="BL37" s="1">
        <v>25</v>
      </c>
      <c r="BM37" s="1">
        <v>1.8</v>
      </c>
      <c r="BN37" s="1" t="s">
        <v>110</v>
      </c>
      <c r="BO37" s="1">
        <v>0</v>
      </c>
      <c r="BP37" s="1">
        <v>1</v>
      </c>
      <c r="BQ37" s="1">
        <v>1</v>
      </c>
      <c r="BR37" s="3">
        <v>43143</v>
      </c>
      <c r="BS37" s="1" t="s">
        <v>61</v>
      </c>
      <c r="BT37" s="12" t="s">
        <v>60</v>
      </c>
      <c r="BU37" s="1">
        <v>4</v>
      </c>
      <c r="BV37" s="1">
        <v>0</v>
      </c>
      <c r="BW37" s="1">
        <v>5.9</v>
      </c>
      <c r="BX37" s="1">
        <v>0.49099999999999999</v>
      </c>
      <c r="BY37" s="1">
        <v>0.41599999999999998</v>
      </c>
      <c r="BZ37" s="1">
        <v>12.9</v>
      </c>
      <c r="CA37" s="1">
        <v>156</v>
      </c>
      <c r="CB37" s="1">
        <v>1.54</v>
      </c>
      <c r="CC37" s="1">
        <v>12.1</v>
      </c>
      <c r="CD37" s="1">
        <v>8.3000000000000007</v>
      </c>
      <c r="CE37" s="1">
        <v>1</v>
      </c>
      <c r="CF37" s="3">
        <v>43216</v>
      </c>
      <c r="CG37" s="7">
        <f>CF37-AJ37</f>
        <v>36</v>
      </c>
      <c r="CH37" s="1" t="s">
        <v>1986</v>
      </c>
      <c r="CI37" s="12" t="s">
        <v>183</v>
      </c>
      <c r="CJ37" s="17" t="s">
        <v>182</v>
      </c>
      <c r="CK37" s="1" t="s">
        <v>1251</v>
      </c>
      <c r="CL37" s="1" t="s">
        <v>280</v>
      </c>
      <c r="CM37" s="1">
        <v>0</v>
      </c>
      <c r="CO37" s="1" t="s">
        <v>1985</v>
      </c>
      <c r="CQ37" s="1" t="s">
        <v>45</v>
      </c>
      <c r="CR37" s="1" t="s">
        <v>45</v>
      </c>
      <c r="CS37" s="1" t="s">
        <v>1014</v>
      </c>
      <c r="CT37" s="1" t="s">
        <v>455</v>
      </c>
      <c r="CU37" s="1" t="s">
        <v>454</v>
      </c>
      <c r="CV37" s="1">
        <v>0</v>
      </c>
      <c r="CW37" s="1">
        <v>3.1</v>
      </c>
      <c r="CX37" s="1">
        <v>5.6</v>
      </c>
      <c r="CY37" s="1">
        <v>0.02</v>
      </c>
      <c r="CZ37" s="1">
        <v>9</v>
      </c>
      <c r="DA37" s="1">
        <v>33</v>
      </c>
      <c r="DB37" s="2">
        <f>CZ37/DA37*100</f>
        <v>27.27272727272727</v>
      </c>
      <c r="DC37" s="1">
        <v>1</v>
      </c>
      <c r="DD37" s="1">
        <v>1</v>
      </c>
      <c r="DE37" s="1">
        <v>1</v>
      </c>
      <c r="DF37" s="1">
        <v>0</v>
      </c>
      <c r="DG37" s="26" t="s">
        <v>1984</v>
      </c>
      <c r="DH37" s="7">
        <v>0</v>
      </c>
      <c r="DI37" s="7">
        <v>0</v>
      </c>
      <c r="DJ37" s="3">
        <v>43452</v>
      </c>
      <c r="DK37" s="1" t="s">
        <v>1812</v>
      </c>
      <c r="DL37" s="12">
        <f>(DJ37-I37)/365.25*12</f>
        <v>10.151950718685832</v>
      </c>
      <c r="DM37" s="1">
        <v>1</v>
      </c>
      <c r="DN37" s="1" t="s">
        <v>1983</v>
      </c>
      <c r="DO37" s="3">
        <v>43452</v>
      </c>
      <c r="DP37" s="6" t="s">
        <v>1982</v>
      </c>
      <c r="DQ37" s="7">
        <v>0</v>
      </c>
      <c r="DR37" s="3" t="s">
        <v>45</v>
      </c>
      <c r="DS37" s="10">
        <f>IF(DQ37=1, (DR37-$I37)/365.25*12, IF(DQ37=0, $DL37, "ERROR"))</f>
        <v>10.151950718685832</v>
      </c>
      <c r="DT37" s="7">
        <v>1</v>
      </c>
      <c r="DU37" s="7">
        <v>0</v>
      </c>
      <c r="DV37" s="7">
        <v>1</v>
      </c>
      <c r="DW37" s="16">
        <f>DU37*(1-DV37)</f>
        <v>0</v>
      </c>
      <c r="DX37" s="16">
        <f>(1-DU37)*DV37</f>
        <v>1</v>
      </c>
      <c r="DY37" s="16">
        <f>DU37*DV37</f>
        <v>0</v>
      </c>
      <c r="DZ37" s="3">
        <v>43452</v>
      </c>
      <c r="EA37" s="10">
        <f>IF(DT37=1, (DZ37-$I37)/365.25*12, IF(DT37=0, $DL37, "ERROR"))</f>
        <v>10.151950718685832</v>
      </c>
      <c r="EB37" s="7">
        <v>1</v>
      </c>
      <c r="EC37" s="7">
        <v>0</v>
      </c>
      <c r="ED37" s="16">
        <f>1-((1-DQ37)*(1-DT37))</f>
        <v>1</v>
      </c>
      <c r="EE37" s="11">
        <f>MIN(DR37,DZ37)</f>
        <v>43452</v>
      </c>
      <c r="EF37" s="1" t="s">
        <v>45</v>
      </c>
      <c r="EG37" s="7" t="s">
        <v>45</v>
      </c>
      <c r="EH37" s="1" t="s">
        <v>45</v>
      </c>
      <c r="EI37" s="1">
        <v>0</v>
      </c>
      <c r="EJ37" s="16">
        <f>(1-DQ37)*DX37*(1-EI37)</f>
        <v>1</v>
      </c>
      <c r="EK37" s="1" t="s">
        <v>45</v>
      </c>
      <c r="EL37" s="10">
        <f>IF(EI37=1, (EK37-$I37)/365.25*12, IF(EI37=0, $DL37, "ERROR"))</f>
        <v>10.151950718685832</v>
      </c>
      <c r="EM37" s="1" t="s">
        <v>45</v>
      </c>
      <c r="EN37" s="1">
        <v>0</v>
      </c>
      <c r="EO37" s="1">
        <v>0</v>
      </c>
      <c r="EP37" s="1">
        <v>0</v>
      </c>
      <c r="EQ37" s="1">
        <v>0</v>
      </c>
      <c r="ER37" s="1">
        <v>0</v>
      </c>
      <c r="ES37" s="1">
        <v>0</v>
      </c>
      <c r="ET37" s="1">
        <v>0</v>
      </c>
      <c r="EU37" s="1">
        <v>0</v>
      </c>
      <c r="EV37" s="1">
        <v>0</v>
      </c>
      <c r="EW37" s="1">
        <f>1-((1-EP37)*(1-ET37)*(1-EU37)*(1-EV37))</f>
        <v>0</v>
      </c>
      <c r="EX37" s="7">
        <v>0</v>
      </c>
      <c r="EY37" s="7">
        <v>0</v>
      </c>
      <c r="EZ37" s="7">
        <v>0</v>
      </c>
      <c r="FA37" s="7">
        <v>0</v>
      </c>
      <c r="FB37" s="1" t="s">
        <v>45</v>
      </c>
      <c r="FC37" s="1">
        <v>1</v>
      </c>
      <c r="FD37" s="1">
        <v>1</v>
      </c>
      <c r="FE37" s="1" t="s">
        <v>1981</v>
      </c>
      <c r="FF37" s="3">
        <v>43481</v>
      </c>
      <c r="FG37" s="3">
        <f>IF(FC37=1, FF37, IF(FD37=1, 44348, DJ37))</f>
        <v>43481</v>
      </c>
      <c r="FH37" s="13">
        <f>(FG37-I37)/365.25*12</f>
        <v>11.104722792607802</v>
      </c>
      <c r="FI37" s="13"/>
      <c r="FJ37" s="14">
        <f>IF(OR(DM37,FC37), 1, 0)</f>
        <v>1</v>
      </c>
      <c r="FK37" s="11">
        <f>IF(DM37=1,IF(FC37=1,MIN(DO37,FF37),DO37),IF(FC37=1,FF37,DJ37))</f>
        <v>43452</v>
      </c>
      <c r="FL37" s="13">
        <f>(FK37-$I37)/365.25*12</f>
        <v>10.151950718685832</v>
      </c>
      <c r="FM37" s="14">
        <f>IF(OR(ED37,FC37), 1, 0)</f>
        <v>1</v>
      </c>
      <c r="FN37" s="11">
        <f>IF(ED37=1,IF(FC37=1,MIN(EE37,FF37),EE37),IF(FC37=1,FF37,DJ37))</f>
        <v>43452</v>
      </c>
      <c r="FO37" s="13">
        <f>(FN37-$I37)/365.25*12</f>
        <v>10.151950718685832</v>
      </c>
      <c r="FP37" s="14">
        <f>IF(OR(EI37,FC37), 1, 0)</f>
        <v>1</v>
      </c>
      <c r="FQ37" s="11">
        <f>IF(EI37=1,IF(FC37=1,MIN(EK37,FF37),EK37),IF(FC37=1,FF37,DJ37))</f>
        <v>43481</v>
      </c>
      <c r="FR37" s="13">
        <f>(FQ37-$I37)/365.25*12</f>
        <v>11.104722792607802</v>
      </c>
      <c r="FS37" s="1" t="s">
        <v>45</v>
      </c>
      <c r="FT37" s="1" t="s">
        <v>45</v>
      </c>
      <c r="FU37" s="1">
        <v>0</v>
      </c>
      <c r="FV37" s="1">
        <v>0</v>
      </c>
      <c r="FW37" s="1">
        <v>0</v>
      </c>
      <c r="FX37" s="1">
        <v>0</v>
      </c>
    </row>
    <row r="38" spans="1:182" ht="12.75" hidden="1" customHeight="1">
      <c r="A38" s="1" t="s">
        <v>1980</v>
      </c>
      <c r="B38" s="15" t="s">
        <v>1979</v>
      </c>
      <c r="C38" s="1">
        <v>50264380</v>
      </c>
      <c r="D38" s="1">
        <v>0</v>
      </c>
      <c r="E38" s="1">
        <v>0</v>
      </c>
      <c r="F38" s="1">
        <v>0</v>
      </c>
      <c r="G38" s="12">
        <v>1</v>
      </c>
      <c r="I38" s="3">
        <v>43102</v>
      </c>
      <c r="J38" s="3">
        <v>43083</v>
      </c>
      <c r="K38" s="3">
        <v>20930</v>
      </c>
      <c r="L38" s="5">
        <f>(DAYS360(K38,I38))/365</f>
        <v>59.868493150684934</v>
      </c>
      <c r="M38" s="1" t="s">
        <v>5</v>
      </c>
      <c r="N38" s="1">
        <v>1</v>
      </c>
      <c r="O38" s="1">
        <v>0</v>
      </c>
      <c r="P38" s="1" t="s">
        <v>161</v>
      </c>
      <c r="Q38" s="1">
        <v>0</v>
      </c>
      <c r="R38" s="1" t="s">
        <v>209</v>
      </c>
      <c r="S38" s="1" t="s">
        <v>1498</v>
      </c>
      <c r="T38" s="1" t="s">
        <v>150</v>
      </c>
      <c r="U38" s="1">
        <v>0</v>
      </c>
      <c r="V38" s="1">
        <v>1</v>
      </c>
      <c r="W38" s="1">
        <v>1</v>
      </c>
      <c r="X38" s="1" t="s">
        <v>1978</v>
      </c>
      <c r="Y38" s="1">
        <v>4</v>
      </c>
      <c r="Z38" s="1">
        <v>2</v>
      </c>
      <c r="AA38" s="1" t="s">
        <v>96</v>
      </c>
      <c r="AC38" s="1">
        <v>5</v>
      </c>
      <c r="AD38" s="1" t="s">
        <v>1977</v>
      </c>
      <c r="AE38" s="1" t="s">
        <v>114</v>
      </c>
      <c r="AF38" s="1">
        <v>1</v>
      </c>
      <c r="AG38" s="1">
        <v>1</v>
      </c>
      <c r="AH38" s="1">
        <v>1</v>
      </c>
      <c r="AI38" s="3">
        <v>43102</v>
      </c>
      <c r="AJ38" s="3">
        <v>43136</v>
      </c>
      <c r="AK38" s="6" t="s">
        <v>1976</v>
      </c>
      <c r="AL38" s="6" t="s">
        <v>250</v>
      </c>
      <c r="AM38" s="1">
        <v>0</v>
      </c>
      <c r="AN38" s="1">
        <v>0</v>
      </c>
      <c r="AO38" s="1">
        <v>0</v>
      </c>
      <c r="AP38" s="1">
        <v>0</v>
      </c>
      <c r="AQ38" s="1">
        <v>1</v>
      </c>
      <c r="AR38" s="1">
        <v>1</v>
      </c>
      <c r="AS38" s="12">
        <f>IF(AND(AM38=0,AU38&lt;=2), 1, 0)</f>
        <v>1</v>
      </c>
      <c r="AT38" s="12">
        <v>1</v>
      </c>
      <c r="AU38" s="1">
        <v>2</v>
      </c>
      <c r="AV38" s="1">
        <v>0.7</v>
      </c>
      <c r="AW38" s="1">
        <v>0.5</v>
      </c>
      <c r="AX38" s="6" t="s">
        <v>45</v>
      </c>
      <c r="AY38" s="6" t="s">
        <v>45</v>
      </c>
      <c r="AZ38" s="6" t="s">
        <v>46</v>
      </c>
      <c r="BA38" s="1">
        <f>12.3-7.8+0.3</f>
        <v>4.8000000000000007</v>
      </c>
      <c r="BB38" s="1">
        <f>69.2+151.7</f>
        <v>220.89999999999998</v>
      </c>
      <c r="BC38" s="1">
        <v>2</v>
      </c>
      <c r="BD38" s="1">
        <v>2</v>
      </c>
      <c r="BE38" s="1">
        <v>539.6</v>
      </c>
      <c r="BF38" s="1" t="s">
        <v>1975</v>
      </c>
      <c r="BG38" s="1">
        <v>45</v>
      </c>
      <c r="BH38" s="1">
        <v>45</v>
      </c>
      <c r="BI38" s="1">
        <v>0</v>
      </c>
      <c r="BJ38" s="1">
        <v>0</v>
      </c>
      <c r="BK38" s="1">
        <f>BH38+BI38</f>
        <v>45</v>
      </c>
      <c r="BL38" s="1">
        <v>25</v>
      </c>
      <c r="BM38" s="1">
        <v>1.8</v>
      </c>
      <c r="BN38" s="1" t="s">
        <v>62</v>
      </c>
      <c r="BO38" s="1">
        <v>1</v>
      </c>
      <c r="BP38" s="1">
        <v>1</v>
      </c>
      <c r="BQ38" s="1">
        <v>1</v>
      </c>
      <c r="BR38" s="3">
        <v>43102</v>
      </c>
      <c r="BS38" s="1" t="s">
        <v>61</v>
      </c>
      <c r="BT38" s="12" t="s">
        <v>60</v>
      </c>
      <c r="BU38" s="1">
        <v>5</v>
      </c>
      <c r="BV38" s="1">
        <v>1</v>
      </c>
      <c r="BW38" s="1">
        <v>8.59</v>
      </c>
      <c r="BX38" s="1">
        <v>0.71599999999999997</v>
      </c>
      <c r="BY38" s="1">
        <v>0.191</v>
      </c>
      <c r="BZ38" s="1">
        <v>12.8</v>
      </c>
      <c r="CA38" s="1">
        <v>268</v>
      </c>
      <c r="CB38" s="1">
        <v>1.79</v>
      </c>
      <c r="CC38" s="1">
        <v>21.7</v>
      </c>
      <c r="CD38" s="1">
        <v>3.7</v>
      </c>
      <c r="CE38" s="1">
        <v>1</v>
      </c>
      <c r="CF38" s="3">
        <v>43181</v>
      </c>
      <c r="CG38" s="7">
        <f>CF38-AJ38</f>
        <v>45</v>
      </c>
      <c r="CH38" s="1" t="s">
        <v>1429</v>
      </c>
      <c r="CI38" s="12" t="s">
        <v>183</v>
      </c>
      <c r="CJ38" s="17" t="s">
        <v>182</v>
      </c>
      <c r="CK38" s="1" t="s">
        <v>811</v>
      </c>
      <c r="CL38" s="1" t="s">
        <v>45</v>
      </c>
      <c r="CM38" s="1">
        <v>1</v>
      </c>
      <c r="CO38" s="1" t="s">
        <v>1025</v>
      </c>
      <c r="CQ38" s="1" t="s">
        <v>45</v>
      </c>
      <c r="CR38" s="1">
        <v>0</v>
      </c>
      <c r="CS38" s="1" t="s">
        <v>45</v>
      </c>
      <c r="CT38" s="1" t="s">
        <v>45</v>
      </c>
      <c r="CU38" s="1" t="s">
        <v>45</v>
      </c>
      <c r="CV38" s="1">
        <v>0</v>
      </c>
      <c r="CW38" s="1" t="s">
        <v>45</v>
      </c>
      <c r="CX38" s="1" t="s">
        <v>45</v>
      </c>
      <c r="CY38" s="1" t="s">
        <v>45</v>
      </c>
      <c r="CZ38" s="1">
        <v>0</v>
      </c>
      <c r="DA38" s="1">
        <v>58</v>
      </c>
      <c r="DB38" s="2">
        <f>CZ38/DA38*100</f>
        <v>0</v>
      </c>
      <c r="DC38" s="1">
        <v>0</v>
      </c>
      <c r="DD38" s="1">
        <v>0</v>
      </c>
      <c r="DE38" s="1">
        <v>0</v>
      </c>
      <c r="DF38" s="1" t="s">
        <v>45</v>
      </c>
      <c r="DG38" s="26" t="s">
        <v>1974</v>
      </c>
      <c r="DH38" s="7">
        <v>0</v>
      </c>
      <c r="DI38" s="7">
        <v>0</v>
      </c>
      <c r="DJ38" s="3">
        <v>44251</v>
      </c>
      <c r="DL38" s="12">
        <f>(DJ38-I38)/365.25*12</f>
        <v>37.749486652977417</v>
      </c>
      <c r="DM38" s="1">
        <v>0</v>
      </c>
      <c r="DN38" s="1" t="s">
        <v>45</v>
      </c>
      <c r="DO38" s="1" t="s">
        <v>45</v>
      </c>
      <c r="DP38" s="6" t="s">
        <v>45</v>
      </c>
      <c r="DQ38" s="7">
        <v>0</v>
      </c>
      <c r="DR38" s="3" t="s">
        <v>45</v>
      </c>
      <c r="DS38" s="10">
        <f>IF(DQ38=1, (DR38-$I38)/365.25*12, IF(DQ38=0, $DL38, "ERROR"))</f>
        <v>37.749486652977417</v>
      </c>
      <c r="DT38" s="7">
        <v>0</v>
      </c>
      <c r="DU38" s="7">
        <v>0</v>
      </c>
      <c r="DV38" s="7">
        <v>0</v>
      </c>
      <c r="DW38" s="16">
        <f>DU38*(1-DV38)</f>
        <v>0</v>
      </c>
      <c r="DX38" s="16">
        <f>(1-DU38)*DV38</f>
        <v>0</v>
      </c>
      <c r="DY38" s="16">
        <f>DU38*DV38</f>
        <v>0</v>
      </c>
      <c r="DZ38" s="3" t="s">
        <v>45</v>
      </c>
      <c r="EA38" s="10">
        <f>IF(DT38=1, (DZ38-$I38)/365.25*12, IF(DT38=0, $DL38, "ERROR"))</f>
        <v>37.749486652977417</v>
      </c>
      <c r="EB38" s="7">
        <v>0</v>
      </c>
      <c r="EC38" s="7">
        <v>0</v>
      </c>
      <c r="ED38" s="16">
        <f>1-((1-DQ38)*(1-DT38))</f>
        <v>0</v>
      </c>
      <c r="EE38" s="11" t="s">
        <v>45</v>
      </c>
      <c r="EF38" s="1" t="s">
        <v>45</v>
      </c>
      <c r="EG38" s="7" t="s">
        <v>45</v>
      </c>
      <c r="EH38" s="1" t="s">
        <v>45</v>
      </c>
      <c r="EI38" s="1">
        <v>0</v>
      </c>
      <c r="EJ38" s="16">
        <f>(1-DQ38)*DX38*(1-EI38)</f>
        <v>0</v>
      </c>
      <c r="EK38" s="1" t="s">
        <v>45</v>
      </c>
      <c r="EL38" s="10">
        <f>IF(EI38=1, (EK38-$I38)/365.25*12, IF(EI38=0, $DL38, "ERROR"))</f>
        <v>37.749486652977417</v>
      </c>
      <c r="EM38" s="1" t="s">
        <v>45</v>
      </c>
      <c r="EN38" s="1">
        <v>0</v>
      </c>
      <c r="EO38" s="1">
        <v>0</v>
      </c>
      <c r="EP38" s="1">
        <v>0</v>
      </c>
      <c r="EQ38" s="1">
        <v>0</v>
      </c>
      <c r="ER38" s="1">
        <v>0</v>
      </c>
      <c r="ES38" s="1">
        <v>0</v>
      </c>
      <c r="ET38" s="1">
        <v>0</v>
      </c>
      <c r="EU38" s="1">
        <v>0</v>
      </c>
      <c r="EV38" s="1">
        <v>0</v>
      </c>
      <c r="EW38" s="1">
        <f>1-((1-EP38)*(1-ET38)*(1-EU38)*(1-EV38))</f>
        <v>0</v>
      </c>
      <c r="EX38" s="7">
        <v>0</v>
      </c>
      <c r="EY38" s="7">
        <v>0</v>
      </c>
      <c r="EZ38" s="7">
        <v>0</v>
      </c>
      <c r="FA38" s="7">
        <v>0</v>
      </c>
      <c r="FB38" s="1" t="s">
        <v>45</v>
      </c>
      <c r="FC38" s="1">
        <v>0</v>
      </c>
      <c r="FD38" s="1">
        <v>1</v>
      </c>
      <c r="FF38" s="1" t="s">
        <v>45</v>
      </c>
      <c r="FG38" s="3">
        <f>IF(FC38=1, FF38, IF(FD38=1, 44348, DJ38))</f>
        <v>44348</v>
      </c>
      <c r="FH38" s="13">
        <f>(FG38-I38)/365.25*12</f>
        <v>40.936344969199183</v>
      </c>
      <c r="FI38" s="13"/>
      <c r="FJ38" s="14">
        <f>IF(OR(DM38,FC38), 1, 0)</f>
        <v>0</v>
      </c>
      <c r="FK38" s="11">
        <f>IF(DM38=1,IF(FC38=1,MIN(DO38,FF38),DO38),IF(FC38=1,FF38,DJ38))</f>
        <v>44251</v>
      </c>
      <c r="FL38" s="13">
        <f>(FK38-$I38)/365.25*12</f>
        <v>37.749486652977417</v>
      </c>
      <c r="FM38" s="14">
        <f>IF(OR(ED38,FC38), 1, 0)</f>
        <v>0</v>
      </c>
      <c r="FN38" s="11">
        <f>IF(ED38=1,IF(FC38=1,MIN(EE38,FF38),EE38),IF(FC38=1,FF38,DJ38))</f>
        <v>44251</v>
      </c>
      <c r="FO38" s="13">
        <f>(FN38-$I38)/365.25*12</f>
        <v>37.749486652977417</v>
      </c>
      <c r="FP38" s="14">
        <f>IF(OR(EI38,FC38), 1, 0)</f>
        <v>0</v>
      </c>
      <c r="FQ38" s="11">
        <f>IF(EI38=1,IF(FC38=1,MIN(EK38,FF38),EK38),IF(FC38=1,FF38,DJ38))</f>
        <v>44251</v>
      </c>
      <c r="FR38" s="13">
        <f>(FQ38-$I38)/365.25*12</f>
        <v>37.749486652977417</v>
      </c>
      <c r="FS38" s="1" t="s">
        <v>45</v>
      </c>
      <c r="FT38" s="1" t="s">
        <v>1973</v>
      </c>
      <c r="FU38" s="1">
        <v>0</v>
      </c>
      <c r="FV38" s="1">
        <v>0</v>
      </c>
      <c r="FW38" s="1">
        <v>0</v>
      </c>
      <c r="FX38" s="1">
        <v>0</v>
      </c>
    </row>
    <row r="39" spans="1:182" ht="12.75" hidden="1" customHeight="1">
      <c r="A39" s="1" t="s">
        <v>1972</v>
      </c>
      <c r="B39" s="15" t="s">
        <v>1971</v>
      </c>
      <c r="C39" s="1">
        <v>46639442</v>
      </c>
      <c r="D39" s="1">
        <v>0</v>
      </c>
      <c r="E39" s="1">
        <v>0</v>
      </c>
      <c r="F39" s="1">
        <v>0</v>
      </c>
      <c r="G39" s="12">
        <v>1</v>
      </c>
      <c r="I39" s="3">
        <v>42079</v>
      </c>
      <c r="J39" s="3">
        <v>42060</v>
      </c>
      <c r="K39" s="3">
        <v>18611</v>
      </c>
      <c r="L39" s="5">
        <f>(DAYS360(K39,I39))/365</f>
        <v>63.375342465753427</v>
      </c>
      <c r="M39" s="1" t="s">
        <v>5</v>
      </c>
      <c r="N39" s="1">
        <v>1</v>
      </c>
      <c r="O39" s="1">
        <v>0</v>
      </c>
      <c r="P39" s="1" t="s">
        <v>69</v>
      </c>
      <c r="Q39" s="1">
        <v>1</v>
      </c>
      <c r="R39" s="1" t="s">
        <v>209</v>
      </c>
      <c r="S39" s="1">
        <v>35</v>
      </c>
      <c r="T39" s="1" t="s">
        <v>67</v>
      </c>
      <c r="U39" s="1">
        <v>0</v>
      </c>
      <c r="V39" s="1">
        <v>0</v>
      </c>
      <c r="W39" s="1">
        <v>1</v>
      </c>
      <c r="X39" s="1" t="s">
        <v>117</v>
      </c>
      <c r="Y39" s="1">
        <v>3</v>
      </c>
      <c r="Z39" s="1">
        <v>1</v>
      </c>
      <c r="AA39" s="1" t="s">
        <v>116</v>
      </c>
      <c r="AC39" s="1">
        <v>3</v>
      </c>
      <c r="AD39" s="1" t="s">
        <v>1059</v>
      </c>
      <c r="AE39" s="1" t="s">
        <v>114</v>
      </c>
      <c r="AF39" s="1">
        <v>0</v>
      </c>
      <c r="AG39" s="1">
        <v>0</v>
      </c>
      <c r="AH39" s="1">
        <v>0</v>
      </c>
      <c r="AI39" s="3">
        <v>42079</v>
      </c>
      <c r="AJ39" s="3">
        <v>42111</v>
      </c>
      <c r="AK39" s="6" t="s">
        <v>1970</v>
      </c>
      <c r="AL39" s="6" t="s">
        <v>250</v>
      </c>
      <c r="AM39" s="1">
        <v>0</v>
      </c>
      <c r="AN39" s="1">
        <v>0</v>
      </c>
      <c r="AO39" s="1">
        <v>0</v>
      </c>
      <c r="AP39" s="1">
        <v>0</v>
      </c>
      <c r="AQ39" s="1">
        <v>1</v>
      </c>
      <c r="AR39" s="1">
        <v>1</v>
      </c>
      <c r="AS39" s="12">
        <f>IF(AND(AM39=0,AU39&lt;=2), 1, 0)</f>
        <v>1</v>
      </c>
      <c r="AT39" s="12">
        <v>1</v>
      </c>
      <c r="AU39" s="1">
        <v>2</v>
      </c>
      <c r="AV39" s="1">
        <v>0.5</v>
      </c>
      <c r="AW39" s="1">
        <v>0.5</v>
      </c>
      <c r="AX39" s="6" t="s">
        <v>45</v>
      </c>
      <c r="AY39" s="6" t="s">
        <v>45</v>
      </c>
      <c r="AZ39" s="6" t="s">
        <v>111</v>
      </c>
      <c r="BA39" s="1">
        <v>7</v>
      </c>
      <c r="BB39" s="1">
        <v>97.3</v>
      </c>
      <c r="BC39" s="1">
        <v>2</v>
      </c>
      <c r="BD39" s="1">
        <v>1.5</v>
      </c>
      <c r="BE39" s="1">
        <v>285.3</v>
      </c>
      <c r="BF39" s="1" t="s">
        <v>248</v>
      </c>
      <c r="BG39" s="1">
        <v>45</v>
      </c>
      <c r="BH39" s="1">
        <v>45</v>
      </c>
      <c r="BI39" s="1">
        <v>0</v>
      </c>
      <c r="BJ39" s="1">
        <v>0</v>
      </c>
      <c r="BK39" s="1">
        <f>BH39+BI39</f>
        <v>45</v>
      </c>
      <c r="BL39" s="1">
        <v>25</v>
      </c>
      <c r="BM39" s="1">
        <v>1.8</v>
      </c>
      <c r="BN39" s="1" t="s">
        <v>110</v>
      </c>
      <c r="BO39" s="1">
        <v>0</v>
      </c>
      <c r="BP39" s="1">
        <v>1</v>
      </c>
      <c r="BQ39" s="1">
        <v>1</v>
      </c>
      <c r="BR39" s="3">
        <v>42079</v>
      </c>
      <c r="BS39" s="1" t="s">
        <v>61</v>
      </c>
      <c r="BT39" s="12" t="s">
        <v>60</v>
      </c>
      <c r="BU39" s="1">
        <v>5</v>
      </c>
      <c r="BV39" s="1">
        <v>1</v>
      </c>
      <c r="BW39" s="1">
        <v>9.57</v>
      </c>
      <c r="BX39" s="1">
        <v>0.67900000000000005</v>
      </c>
      <c r="BY39" s="1">
        <v>0.22</v>
      </c>
      <c r="BZ39" s="1">
        <v>12.3</v>
      </c>
      <c r="CA39" s="1">
        <v>320</v>
      </c>
      <c r="CB39" s="1">
        <v>1.43</v>
      </c>
      <c r="CC39" s="1">
        <v>15.2</v>
      </c>
      <c r="CD39" s="1">
        <v>7.7</v>
      </c>
      <c r="CE39" s="1">
        <v>1</v>
      </c>
      <c r="CF39" s="3">
        <v>42164</v>
      </c>
      <c r="CG39" s="7">
        <f>CF39-AJ39</f>
        <v>53</v>
      </c>
      <c r="CH39" s="1" t="s">
        <v>1881</v>
      </c>
      <c r="CI39" s="17" t="s">
        <v>460</v>
      </c>
      <c r="CJ39" s="1" t="s">
        <v>515</v>
      </c>
      <c r="CK39" s="1" t="s">
        <v>1110</v>
      </c>
      <c r="CL39" s="1" t="s">
        <v>1109</v>
      </c>
      <c r="CM39" s="1">
        <v>0</v>
      </c>
      <c r="CO39" s="1" t="s">
        <v>650</v>
      </c>
      <c r="CQ39" s="1" t="s">
        <v>1969</v>
      </c>
      <c r="CR39" s="1">
        <v>1.8</v>
      </c>
      <c r="CS39" s="1" t="s">
        <v>1014</v>
      </c>
      <c r="CT39" s="1" t="s">
        <v>511</v>
      </c>
      <c r="CU39" s="1" t="s">
        <v>472</v>
      </c>
      <c r="CV39" s="1">
        <v>0</v>
      </c>
      <c r="CW39" s="1">
        <v>7.9</v>
      </c>
      <c r="CX39" s="1">
        <v>5.2</v>
      </c>
      <c r="CY39" s="1">
        <v>0.15</v>
      </c>
      <c r="CZ39" s="1">
        <v>1</v>
      </c>
      <c r="DA39" s="1">
        <v>38</v>
      </c>
      <c r="DB39" s="2">
        <f>CZ39/DA39*100</f>
        <v>2.6315789473684208</v>
      </c>
      <c r="DC39" s="1">
        <v>0</v>
      </c>
      <c r="DD39" s="1">
        <v>0</v>
      </c>
      <c r="DE39" s="1">
        <v>1</v>
      </c>
      <c r="DF39" s="1">
        <v>0</v>
      </c>
      <c r="DG39" s="26" t="s">
        <v>1968</v>
      </c>
      <c r="DH39" s="7">
        <v>0</v>
      </c>
      <c r="DI39" s="7">
        <v>0</v>
      </c>
      <c r="DJ39" s="3">
        <v>42430</v>
      </c>
      <c r="DK39" s="1" t="s">
        <v>339</v>
      </c>
      <c r="DL39" s="12">
        <f>(DJ39-I39)/365.25*12</f>
        <v>11.531827515400412</v>
      </c>
      <c r="DM39" s="1">
        <v>1</v>
      </c>
      <c r="DN39" s="1" t="s">
        <v>1967</v>
      </c>
      <c r="DO39" s="3">
        <v>42375</v>
      </c>
      <c r="DP39" s="6" t="s">
        <v>1098</v>
      </c>
      <c r="DQ39" s="7">
        <v>0</v>
      </c>
      <c r="DR39" s="3" t="s">
        <v>45</v>
      </c>
      <c r="DS39" s="10">
        <f>IF(DQ39=1, (DR39-$I39)/365.25*12, IF(DQ39=0, $DL39, "ERROR"))</f>
        <v>11.531827515400412</v>
      </c>
      <c r="DT39" s="7">
        <v>1</v>
      </c>
      <c r="DU39" s="7">
        <v>1</v>
      </c>
      <c r="DV39" s="7">
        <v>0</v>
      </c>
      <c r="DW39" s="16">
        <f>DU39*(1-DV39)</f>
        <v>1</v>
      </c>
      <c r="DX39" s="16">
        <f>(1-DU39)*DV39</f>
        <v>0</v>
      </c>
      <c r="DY39" s="16">
        <f>DU39*DV39</f>
        <v>0</v>
      </c>
      <c r="DZ39" s="3">
        <v>42375</v>
      </c>
      <c r="EA39" s="10">
        <f>IF(DT39=1, (DZ39-$I39)/365.25*12, IF(DT39=0, $DL39, "ERROR"))</f>
        <v>9.7248459958932241</v>
      </c>
      <c r="EB39" s="7">
        <v>1</v>
      </c>
      <c r="EC39" s="7">
        <v>0</v>
      </c>
      <c r="ED39" s="16">
        <f>1-((1-DQ39)*(1-DT39))</f>
        <v>1</v>
      </c>
      <c r="EE39" s="11">
        <f>MIN(DR39,DZ39)</f>
        <v>42375</v>
      </c>
      <c r="EF39" s="1" t="s">
        <v>1451</v>
      </c>
      <c r="EG39" s="7" t="s">
        <v>45</v>
      </c>
      <c r="EH39" s="1" t="s">
        <v>45</v>
      </c>
      <c r="EI39" s="1">
        <v>1</v>
      </c>
      <c r="EJ39" s="16">
        <f>(1-DQ39)*DX39*(1-EI39)</f>
        <v>0</v>
      </c>
      <c r="EK39" s="3">
        <v>42375</v>
      </c>
      <c r="EL39" s="10">
        <f>IF(EI39=1, (EK39-$I39)/365.25*12, IF(EI39=0, $DL39, "ERROR"))</f>
        <v>9.7248459958932241</v>
      </c>
      <c r="EM39" s="1" t="s">
        <v>1966</v>
      </c>
      <c r="EN39" s="7">
        <v>0</v>
      </c>
      <c r="EO39" s="7">
        <v>0</v>
      </c>
      <c r="EP39" s="7">
        <v>0</v>
      </c>
      <c r="EQ39" s="7">
        <v>1</v>
      </c>
      <c r="ER39" s="7">
        <v>1</v>
      </c>
      <c r="ES39" s="7">
        <v>0</v>
      </c>
      <c r="ET39" s="7">
        <v>0</v>
      </c>
      <c r="EU39" s="7">
        <v>1</v>
      </c>
      <c r="EV39" s="7">
        <v>0</v>
      </c>
      <c r="EW39" s="1">
        <f>1-((1-EP39)*(1-ET39)*(1-EU39)*(1-EV39))</f>
        <v>1</v>
      </c>
      <c r="EX39" s="7">
        <v>0</v>
      </c>
      <c r="EY39" s="7">
        <v>0</v>
      </c>
      <c r="EZ39" s="7">
        <v>0</v>
      </c>
      <c r="FA39" s="7">
        <v>0</v>
      </c>
      <c r="FB39" s="1" t="s">
        <v>45</v>
      </c>
      <c r="FC39" s="1">
        <v>1</v>
      </c>
      <c r="FD39" s="1">
        <v>1</v>
      </c>
      <c r="FF39" s="3" t="s">
        <v>1965</v>
      </c>
      <c r="FG39" s="3">
        <v>42430</v>
      </c>
      <c r="FH39" s="13">
        <f>(FG39-I39)/365.25*12</f>
        <v>11.531827515400412</v>
      </c>
      <c r="FI39" s="13"/>
      <c r="FJ39" s="14">
        <f>IF(OR(DM39,FC39), 1, 0)</f>
        <v>1</v>
      </c>
      <c r="FK39" s="11">
        <f>IF(DM39=1,IF(FC39=1,MIN(DO39,FF39),DO39),IF(FC39=1,FF39,DJ39))</f>
        <v>42375</v>
      </c>
      <c r="FL39" s="13">
        <f>(FK39-$I39)/365.25*12</f>
        <v>9.7248459958932241</v>
      </c>
      <c r="FM39" s="14">
        <f>IF(OR(ED39,FC39), 1, 0)</f>
        <v>1</v>
      </c>
      <c r="FN39" s="11">
        <f>IF(ED39=1,IF(FC39=1,MIN(EE39,FF39),EE39),IF(FC39=1,FF39,DJ39))</f>
        <v>42375</v>
      </c>
      <c r="FO39" s="13">
        <f>(FN39-$I39)/365.25*12</f>
        <v>9.7248459958932241</v>
      </c>
      <c r="FP39" s="14">
        <f>IF(OR(EI39,FC39), 1, 0)</f>
        <v>1</v>
      </c>
      <c r="FQ39" s="11">
        <f>IF(EI39=1,IF(FC39=1,MIN(EK39,FF39),EK39),IF(FC39=1,FF39,DJ39))</f>
        <v>42375</v>
      </c>
      <c r="FR39" s="13">
        <f>(FQ39-$I39)/365.25*12</f>
        <v>9.7248459958932241</v>
      </c>
      <c r="FS39" s="1" t="s">
        <v>45</v>
      </c>
      <c r="FT39" s="1" t="s">
        <v>1964</v>
      </c>
      <c r="FU39" s="1">
        <v>0</v>
      </c>
      <c r="FV39" s="1">
        <v>0</v>
      </c>
      <c r="FW39" s="1">
        <v>0</v>
      </c>
      <c r="FX39" s="1">
        <v>0</v>
      </c>
    </row>
    <row r="40" spans="1:182" ht="12.75" hidden="1" customHeight="1">
      <c r="A40" s="1" t="s">
        <v>1963</v>
      </c>
      <c r="B40" s="15" t="s">
        <v>1962</v>
      </c>
      <c r="C40" s="1">
        <v>24573922</v>
      </c>
      <c r="D40" s="1">
        <v>0</v>
      </c>
      <c r="E40" s="1">
        <v>0</v>
      </c>
      <c r="F40" s="1">
        <v>0</v>
      </c>
      <c r="G40" s="12">
        <v>1</v>
      </c>
      <c r="I40" s="3">
        <v>43143</v>
      </c>
      <c r="J40" s="3">
        <v>43125</v>
      </c>
      <c r="K40" s="3">
        <v>16662</v>
      </c>
      <c r="L40" s="5">
        <f>(DAYS360(K40,I40))/365</f>
        <v>71.504109589041093</v>
      </c>
      <c r="M40" s="1" t="s">
        <v>5</v>
      </c>
      <c r="N40" s="1">
        <v>0</v>
      </c>
      <c r="O40" s="1">
        <v>0</v>
      </c>
      <c r="P40" s="1" t="s">
        <v>69</v>
      </c>
      <c r="Q40" s="1">
        <v>1</v>
      </c>
      <c r="R40" s="1" t="s">
        <v>209</v>
      </c>
      <c r="S40" s="1">
        <v>33</v>
      </c>
      <c r="T40" s="1" t="s">
        <v>67</v>
      </c>
      <c r="U40" s="1">
        <v>0</v>
      </c>
      <c r="V40" s="1">
        <v>0</v>
      </c>
      <c r="W40" s="1">
        <v>1</v>
      </c>
      <c r="X40" s="1" t="s">
        <v>1038</v>
      </c>
      <c r="Y40" s="1">
        <v>1</v>
      </c>
      <c r="Z40" s="1">
        <v>1</v>
      </c>
      <c r="AA40" s="1" t="s">
        <v>228</v>
      </c>
      <c r="AC40" s="1">
        <v>1</v>
      </c>
      <c r="AD40" s="1" t="s">
        <v>1059</v>
      </c>
      <c r="AE40" s="1" t="s">
        <v>148</v>
      </c>
      <c r="AF40" s="1">
        <v>0</v>
      </c>
      <c r="AG40" s="1">
        <v>0</v>
      </c>
      <c r="AH40" s="1">
        <v>0</v>
      </c>
      <c r="AI40" s="3">
        <v>43143</v>
      </c>
      <c r="AJ40" s="3">
        <v>43180</v>
      </c>
      <c r="AK40" s="6" t="s">
        <v>1961</v>
      </c>
      <c r="AL40" s="6" t="s">
        <v>250</v>
      </c>
      <c r="AM40" s="1">
        <v>0</v>
      </c>
      <c r="AN40" s="1">
        <v>0</v>
      </c>
      <c r="AO40" s="1">
        <v>0</v>
      </c>
      <c r="AP40" s="1">
        <v>0</v>
      </c>
      <c r="AQ40" s="1">
        <v>1</v>
      </c>
      <c r="AR40" s="1">
        <v>1</v>
      </c>
      <c r="AS40" s="12">
        <f>IF(AND(AM40=0,AU40&lt;=2), 1, 0)</f>
        <v>1</v>
      </c>
      <c r="AT40" s="12">
        <v>1</v>
      </c>
      <c r="AU40" s="1">
        <v>2</v>
      </c>
      <c r="AV40" s="1">
        <v>0.5</v>
      </c>
      <c r="AW40" s="1">
        <v>0.5</v>
      </c>
      <c r="AX40" s="6" t="s">
        <v>45</v>
      </c>
      <c r="AY40" s="6" t="s">
        <v>45</v>
      </c>
      <c r="AZ40" s="1">
        <v>1</v>
      </c>
      <c r="BA40" s="1">
        <f>5.4-3.3+0.3</f>
        <v>2.4000000000000004</v>
      </c>
      <c r="BB40" s="1">
        <f>35.4+10.3</f>
        <v>45.7</v>
      </c>
      <c r="BC40" s="1">
        <v>2</v>
      </c>
      <c r="BD40" s="1">
        <v>2</v>
      </c>
      <c r="BE40" s="1">
        <v>200.9</v>
      </c>
      <c r="BF40" s="1" t="s">
        <v>292</v>
      </c>
      <c r="BG40" s="1">
        <v>45</v>
      </c>
      <c r="BH40" s="1">
        <v>45</v>
      </c>
      <c r="BI40" s="1">
        <v>0</v>
      </c>
      <c r="BJ40" s="1">
        <v>0</v>
      </c>
      <c r="BK40" s="1">
        <f>BH40+BI40</f>
        <v>45</v>
      </c>
      <c r="BL40" s="1">
        <v>25</v>
      </c>
      <c r="BM40" s="1">
        <v>1.8</v>
      </c>
      <c r="BN40" s="1" t="s">
        <v>110</v>
      </c>
      <c r="BO40" s="1">
        <v>0</v>
      </c>
      <c r="BP40" s="1">
        <v>1</v>
      </c>
      <c r="BQ40" s="1">
        <v>1</v>
      </c>
      <c r="BR40" s="3">
        <v>43143</v>
      </c>
      <c r="BS40" s="1" t="s">
        <v>61</v>
      </c>
      <c r="BT40" s="12" t="s">
        <v>60</v>
      </c>
      <c r="BU40" s="1">
        <v>5</v>
      </c>
      <c r="BV40" s="1">
        <v>1</v>
      </c>
      <c r="BW40" s="1">
        <v>5.81</v>
      </c>
      <c r="BX40" s="1">
        <v>0.60899999999999999</v>
      </c>
      <c r="BY40" s="1">
        <v>0.26700000000000002</v>
      </c>
      <c r="BZ40" s="1">
        <v>14.8</v>
      </c>
      <c r="CA40" s="1">
        <v>155</v>
      </c>
      <c r="CB40" s="1">
        <v>1.79</v>
      </c>
      <c r="CD40" s="1">
        <v>5.3</v>
      </c>
      <c r="CE40" s="1">
        <v>1</v>
      </c>
      <c r="CF40" s="3">
        <v>43235</v>
      </c>
      <c r="CG40" s="7">
        <f>CF40-AJ40</f>
        <v>55</v>
      </c>
      <c r="CH40" s="1" t="s">
        <v>1318</v>
      </c>
      <c r="CI40" s="12" t="s">
        <v>183</v>
      </c>
      <c r="CJ40" s="17" t="s">
        <v>182</v>
      </c>
      <c r="CK40" s="1" t="s">
        <v>771</v>
      </c>
      <c r="CL40" s="1" t="s">
        <v>45</v>
      </c>
      <c r="CM40" s="1">
        <v>0</v>
      </c>
      <c r="CO40" s="1" t="s">
        <v>1004</v>
      </c>
      <c r="CQ40" s="1" t="s">
        <v>45</v>
      </c>
      <c r="CR40" s="1">
        <v>0</v>
      </c>
      <c r="CS40" s="1" t="s">
        <v>45</v>
      </c>
      <c r="CT40" s="1" t="s">
        <v>45</v>
      </c>
      <c r="CU40" s="1" t="s">
        <v>45</v>
      </c>
      <c r="CV40" s="1">
        <v>0</v>
      </c>
      <c r="CW40" s="1" t="s">
        <v>45</v>
      </c>
      <c r="CX40" s="1" t="s">
        <v>45</v>
      </c>
      <c r="CY40" s="1" t="s">
        <v>45</v>
      </c>
      <c r="CZ40" s="1">
        <v>1</v>
      </c>
      <c r="DA40" s="1">
        <v>71</v>
      </c>
      <c r="DB40" s="2">
        <f>CZ40/DA40*100</f>
        <v>1.4084507042253522</v>
      </c>
      <c r="DC40" s="1">
        <v>0</v>
      </c>
      <c r="DD40" s="1">
        <v>0</v>
      </c>
      <c r="DE40" s="1">
        <v>0</v>
      </c>
      <c r="DF40" s="1">
        <v>0</v>
      </c>
      <c r="DG40" s="26" t="s">
        <v>1960</v>
      </c>
      <c r="DH40" s="7">
        <v>0</v>
      </c>
      <c r="DI40" s="7">
        <v>0</v>
      </c>
      <c r="DJ40" s="3">
        <v>44316</v>
      </c>
      <c r="DK40" s="1" t="s">
        <v>75</v>
      </c>
      <c r="DL40" s="12">
        <f>(DJ40-I40)/365.25*12</f>
        <v>38.53798767967146</v>
      </c>
      <c r="DM40" s="1">
        <v>0</v>
      </c>
      <c r="DN40" s="1" t="s">
        <v>45</v>
      </c>
      <c r="DO40" s="1" t="s">
        <v>45</v>
      </c>
      <c r="DP40" s="6" t="s">
        <v>45</v>
      </c>
      <c r="DQ40" s="7">
        <v>0</v>
      </c>
      <c r="DR40" s="3" t="s">
        <v>45</v>
      </c>
      <c r="DS40" s="10">
        <f>IF(DQ40=1, (DR40-$I40)/365.25*12, IF(DQ40=0, $DL40, "ERROR"))</f>
        <v>38.53798767967146</v>
      </c>
      <c r="DT40" s="7">
        <v>0</v>
      </c>
      <c r="DU40" s="7">
        <v>0</v>
      </c>
      <c r="DV40" s="7">
        <v>0</v>
      </c>
      <c r="DW40" s="16">
        <f>DU40*(1-DV40)</f>
        <v>0</v>
      </c>
      <c r="DX40" s="16">
        <f>(1-DU40)*DV40</f>
        <v>0</v>
      </c>
      <c r="DY40" s="16">
        <f>DU40*DV40</f>
        <v>0</v>
      </c>
      <c r="DZ40" s="3" t="s">
        <v>45</v>
      </c>
      <c r="EA40" s="10">
        <f>IF(DT40=1, (DZ40-$I40)/365.25*12, IF(DT40=0, $DL40, "ERROR"))</f>
        <v>38.53798767967146</v>
      </c>
      <c r="EB40" s="7">
        <v>0</v>
      </c>
      <c r="EC40" s="7">
        <v>0</v>
      </c>
      <c r="ED40" s="16">
        <f>1-((1-DQ40)*(1-DT40))</f>
        <v>0</v>
      </c>
      <c r="EE40" s="11" t="s">
        <v>45</v>
      </c>
      <c r="EF40" s="1" t="s">
        <v>45</v>
      </c>
      <c r="EG40" s="7" t="s">
        <v>45</v>
      </c>
      <c r="EH40" s="1" t="s">
        <v>45</v>
      </c>
      <c r="EI40" s="1">
        <v>0</v>
      </c>
      <c r="EJ40" s="16">
        <f>(1-DQ40)*DX40*(1-EI40)</f>
        <v>0</v>
      </c>
      <c r="EK40" s="1" t="s">
        <v>45</v>
      </c>
      <c r="EL40" s="10">
        <f>IF(EI40=1, (EK40-$I40)/365.25*12, IF(EI40=0, $DL40, "ERROR"))</f>
        <v>38.53798767967146</v>
      </c>
      <c r="EM40" s="1" t="s">
        <v>45</v>
      </c>
      <c r="EN40" s="1">
        <v>0</v>
      </c>
      <c r="EO40" s="1">
        <v>0</v>
      </c>
      <c r="EP40" s="1">
        <v>0</v>
      </c>
      <c r="EQ40" s="1">
        <v>0</v>
      </c>
      <c r="ER40" s="1">
        <v>0</v>
      </c>
      <c r="ES40" s="1">
        <v>0</v>
      </c>
      <c r="ET40" s="1">
        <v>0</v>
      </c>
      <c r="EU40" s="1">
        <v>0</v>
      </c>
      <c r="EV40" s="1">
        <v>0</v>
      </c>
      <c r="EW40" s="1">
        <f>1-((1-EP40)*(1-ET40)*(1-EU40)*(1-EV40))</f>
        <v>0</v>
      </c>
      <c r="EX40" s="7">
        <v>0</v>
      </c>
      <c r="EY40" s="7">
        <v>0</v>
      </c>
      <c r="EZ40" s="7">
        <v>0</v>
      </c>
      <c r="FA40" s="7">
        <v>0</v>
      </c>
      <c r="FB40" s="1" t="s">
        <v>45</v>
      </c>
      <c r="FC40" s="1">
        <v>0</v>
      </c>
      <c r="FD40" s="1">
        <v>1</v>
      </c>
      <c r="FF40" s="1" t="s">
        <v>45</v>
      </c>
      <c r="FG40" s="3">
        <f>IF(FC40=1, FF40, IF(FD40=1, 44348, DJ40))</f>
        <v>44348</v>
      </c>
      <c r="FH40" s="13">
        <f>(FG40-I40)/365.25*12</f>
        <v>39.589322381930188</v>
      </c>
      <c r="FI40" s="13"/>
      <c r="FJ40" s="14">
        <f>IF(OR(DM40,FC40), 1, 0)</f>
        <v>0</v>
      </c>
      <c r="FK40" s="11">
        <f>IF(DM40=1,IF(FC40=1,MIN(DO40,FF40),DO40),IF(FC40=1,FF40,DJ40))</f>
        <v>44316</v>
      </c>
      <c r="FL40" s="13">
        <f>(FK40-$I40)/365.25*12</f>
        <v>38.53798767967146</v>
      </c>
      <c r="FM40" s="14">
        <f>IF(OR(ED40,FC40), 1, 0)</f>
        <v>0</v>
      </c>
      <c r="FN40" s="11">
        <f>IF(ED40=1,IF(FC40=1,MIN(EE40,FF40),EE40),IF(FC40=1,FF40,DJ40))</f>
        <v>44316</v>
      </c>
      <c r="FO40" s="13">
        <f>(FN40-$I40)/365.25*12</f>
        <v>38.53798767967146</v>
      </c>
      <c r="FP40" s="14">
        <f>IF(OR(EI40,FC40), 1, 0)</f>
        <v>0</v>
      </c>
      <c r="FQ40" s="11">
        <f>IF(EI40=1,IF(FC40=1,MIN(EK40,FF40),EK40),IF(FC40=1,FF40,DJ40))</f>
        <v>44316</v>
      </c>
      <c r="FR40" s="13">
        <f>(FQ40-$I40)/365.25*12</f>
        <v>38.53798767967146</v>
      </c>
      <c r="FS40" s="1" t="s">
        <v>45</v>
      </c>
      <c r="FT40" s="1" t="s">
        <v>45</v>
      </c>
      <c r="FU40" s="1">
        <v>0</v>
      </c>
      <c r="FV40" s="1">
        <v>0</v>
      </c>
      <c r="FW40" s="1">
        <v>0</v>
      </c>
      <c r="FX40" s="1">
        <v>0</v>
      </c>
    </row>
    <row r="41" spans="1:182" ht="12.75" hidden="1" customHeight="1">
      <c r="A41" s="1" t="s">
        <v>1959</v>
      </c>
      <c r="B41" s="15" t="s">
        <v>1958</v>
      </c>
      <c r="C41" s="1">
        <v>44654887</v>
      </c>
      <c r="D41" s="1">
        <v>0</v>
      </c>
      <c r="E41" s="1">
        <v>0</v>
      </c>
      <c r="F41" s="1">
        <v>0</v>
      </c>
      <c r="G41" s="12">
        <v>1</v>
      </c>
      <c r="I41" s="3">
        <v>41498</v>
      </c>
      <c r="J41" s="3">
        <v>41470</v>
      </c>
      <c r="K41" s="3">
        <v>22477</v>
      </c>
      <c r="L41" s="5">
        <f>(DAYS360(K41,I41))/365</f>
        <v>51.361643835616441</v>
      </c>
      <c r="M41" s="1" t="s">
        <v>5</v>
      </c>
      <c r="N41" s="1">
        <v>1</v>
      </c>
      <c r="O41" s="1">
        <v>0</v>
      </c>
      <c r="P41" s="1" t="s">
        <v>69</v>
      </c>
      <c r="Q41" s="1">
        <v>1</v>
      </c>
      <c r="R41" s="1" t="s">
        <v>209</v>
      </c>
      <c r="S41" s="1" t="s">
        <v>1957</v>
      </c>
      <c r="T41" s="1" t="s">
        <v>150</v>
      </c>
      <c r="U41" s="1">
        <v>0</v>
      </c>
      <c r="V41" s="1">
        <v>1</v>
      </c>
      <c r="W41" s="1">
        <v>1</v>
      </c>
      <c r="X41" s="1" t="s">
        <v>117</v>
      </c>
      <c r="Y41" s="1">
        <v>3</v>
      </c>
      <c r="Z41" s="1">
        <v>1</v>
      </c>
      <c r="AA41" s="1" t="s">
        <v>116</v>
      </c>
      <c r="AC41" s="1">
        <v>3</v>
      </c>
      <c r="AD41" s="1" t="s">
        <v>1956</v>
      </c>
      <c r="AE41" s="1" t="s">
        <v>114</v>
      </c>
      <c r="AF41" s="1">
        <v>0</v>
      </c>
      <c r="AG41" s="1">
        <v>0</v>
      </c>
      <c r="AH41" s="1">
        <v>0</v>
      </c>
      <c r="AI41" s="3">
        <v>41498</v>
      </c>
      <c r="AJ41" s="3">
        <v>41541</v>
      </c>
      <c r="AK41" s="6" t="s">
        <v>1955</v>
      </c>
      <c r="AL41" s="6" t="s">
        <v>1320</v>
      </c>
      <c r="AM41" s="1">
        <v>1</v>
      </c>
      <c r="AN41" s="1">
        <v>1</v>
      </c>
      <c r="AO41" s="1">
        <v>1</v>
      </c>
      <c r="AP41" s="1">
        <v>0</v>
      </c>
      <c r="AQ41" s="1">
        <v>0</v>
      </c>
      <c r="AR41" s="1">
        <v>0</v>
      </c>
      <c r="AS41" s="12">
        <f>IF(AND(AM41=0,AU41&lt;=2), 1, 0)</f>
        <v>0</v>
      </c>
      <c r="AT41" s="12">
        <v>0</v>
      </c>
      <c r="AU41" s="1">
        <v>4.5</v>
      </c>
      <c r="AV41" s="6" t="s">
        <v>111</v>
      </c>
      <c r="AX41" s="1">
        <v>2</v>
      </c>
      <c r="AY41" s="1">
        <v>1</v>
      </c>
      <c r="AZ41" s="1">
        <v>1</v>
      </c>
      <c r="BA41" s="1">
        <f>5+1.5+0.5</f>
        <v>7</v>
      </c>
      <c r="BB41" s="1">
        <v>191.1</v>
      </c>
      <c r="BC41" s="1">
        <f>8.5-2+0.5</f>
        <v>7</v>
      </c>
      <c r="BD41" s="1">
        <v>2</v>
      </c>
      <c r="BE41" s="1">
        <v>493.1</v>
      </c>
      <c r="BF41" s="1" t="s">
        <v>1082</v>
      </c>
      <c r="BG41" s="1">
        <v>45</v>
      </c>
      <c r="BH41" s="1">
        <v>45</v>
      </c>
      <c r="BI41" s="1">
        <v>5.4</v>
      </c>
      <c r="BJ41" s="1">
        <v>1</v>
      </c>
      <c r="BK41" s="1">
        <f>BH41+BI41</f>
        <v>50.4</v>
      </c>
      <c r="BL41" s="1">
        <v>28</v>
      </c>
      <c r="BM41" s="1">
        <v>1.8</v>
      </c>
      <c r="BN41" s="1" t="s">
        <v>110</v>
      </c>
      <c r="BO41" s="1">
        <v>0</v>
      </c>
      <c r="BP41" s="1">
        <v>1</v>
      </c>
      <c r="BQ41" s="1">
        <v>1</v>
      </c>
      <c r="BR41" s="3">
        <v>41498</v>
      </c>
      <c r="BS41" s="1" t="s">
        <v>109</v>
      </c>
      <c r="BT41" s="12" t="s">
        <v>90</v>
      </c>
      <c r="BU41" s="1">
        <v>2</v>
      </c>
      <c r="BV41" s="1">
        <v>1</v>
      </c>
      <c r="BW41" s="1">
        <v>11.3</v>
      </c>
      <c r="BX41" s="1">
        <v>0.69199999999999995</v>
      </c>
      <c r="BY41" s="1">
        <v>0.21299999999999999</v>
      </c>
      <c r="BZ41" s="1">
        <v>14.6</v>
      </c>
      <c r="CA41" s="1">
        <v>372</v>
      </c>
      <c r="CB41" s="1">
        <v>1.53</v>
      </c>
      <c r="CC41" s="1">
        <v>19.34</v>
      </c>
      <c r="CE41" s="1">
        <v>1</v>
      </c>
      <c r="CF41" s="3">
        <v>41590</v>
      </c>
      <c r="CG41" s="7">
        <f>CF41-AJ41</f>
        <v>49</v>
      </c>
      <c r="CH41" s="1" t="s">
        <v>1395</v>
      </c>
      <c r="CI41" s="17" t="s">
        <v>460</v>
      </c>
      <c r="CJ41" s="1" t="s">
        <v>515</v>
      </c>
      <c r="CK41" s="1" t="s">
        <v>771</v>
      </c>
      <c r="CL41" s="1" t="s">
        <v>45</v>
      </c>
      <c r="CM41" s="1">
        <v>0</v>
      </c>
      <c r="CO41" s="1" t="s">
        <v>662</v>
      </c>
      <c r="CQ41" s="1" t="s">
        <v>45</v>
      </c>
      <c r="CR41" s="1">
        <v>0</v>
      </c>
      <c r="CS41" s="1" t="s">
        <v>45</v>
      </c>
      <c r="CT41" s="1" t="s">
        <v>45</v>
      </c>
      <c r="CU41" s="1" t="s">
        <v>45</v>
      </c>
      <c r="CV41" s="1">
        <v>0</v>
      </c>
      <c r="CW41" s="1" t="s">
        <v>45</v>
      </c>
      <c r="CX41" s="1" t="s">
        <v>45</v>
      </c>
      <c r="CY41" s="1" t="s">
        <v>45</v>
      </c>
      <c r="CZ41" s="1">
        <v>1</v>
      </c>
      <c r="DA41" s="1">
        <v>46</v>
      </c>
      <c r="DB41" s="2">
        <f>CZ41/DA41*100</f>
        <v>2.1739130434782608</v>
      </c>
      <c r="DC41" s="1">
        <v>0</v>
      </c>
      <c r="DD41" s="1">
        <v>0</v>
      </c>
      <c r="DE41" s="1">
        <v>0</v>
      </c>
      <c r="DF41" s="1" t="s">
        <v>45</v>
      </c>
      <c r="DG41" s="26" t="s">
        <v>1954</v>
      </c>
      <c r="DH41" s="7">
        <v>0</v>
      </c>
      <c r="DI41" s="7">
        <v>0</v>
      </c>
      <c r="DJ41" s="3">
        <v>44314</v>
      </c>
      <c r="DK41" s="1" t="s">
        <v>75</v>
      </c>
      <c r="DL41" s="12">
        <f>(DJ41-I41)/365.25*12</f>
        <v>92.517453798767974</v>
      </c>
      <c r="DM41" s="1">
        <v>0</v>
      </c>
      <c r="DN41" s="1" t="s">
        <v>45</v>
      </c>
      <c r="DO41" s="1" t="s">
        <v>45</v>
      </c>
      <c r="DP41" s="6" t="s">
        <v>45</v>
      </c>
      <c r="DQ41" s="7">
        <v>0</v>
      </c>
      <c r="DR41" s="3" t="s">
        <v>45</v>
      </c>
      <c r="DS41" s="10">
        <f>IF(DQ41=1, (DR41-$I41)/365.25*12, IF(DQ41=0, $DL41, "ERROR"))</f>
        <v>92.517453798767974</v>
      </c>
      <c r="DT41" s="7">
        <v>0</v>
      </c>
      <c r="DU41" s="7">
        <v>0</v>
      </c>
      <c r="DV41" s="7">
        <v>0</v>
      </c>
      <c r="DW41" s="16">
        <f>DU41*(1-DV41)</f>
        <v>0</v>
      </c>
      <c r="DX41" s="16">
        <f>(1-DU41)*DV41</f>
        <v>0</v>
      </c>
      <c r="DY41" s="16">
        <f>DU41*DV41</f>
        <v>0</v>
      </c>
      <c r="DZ41" s="3" t="s">
        <v>45</v>
      </c>
      <c r="EA41" s="10">
        <f>IF(DT41=1, (DZ41-$I41)/365.25*12, IF(DT41=0, $DL41, "ERROR"))</f>
        <v>92.517453798767974</v>
      </c>
      <c r="EB41" s="7">
        <v>0</v>
      </c>
      <c r="EC41" s="7">
        <v>0</v>
      </c>
      <c r="ED41" s="16">
        <f>1-((1-DQ41)*(1-DT41))</f>
        <v>0</v>
      </c>
      <c r="EE41" s="11" t="s">
        <v>45</v>
      </c>
      <c r="EF41" s="1" t="s">
        <v>45</v>
      </c>
      <c r="EG41" s="7" t="s">
        <v>45</v>
      </c>
      <c r="EH41" s="1" t="s">
        <v>45</v>
      </c>
      <c r="EI41" s="1">
        <v>0</v>
      </c>
      <c r="EJ41" s="16">
        <f>(1-DQ41)*DX41*(1-EI41)</f>
        <v>0</v>
      </c>
      <c r="EK41" s="1" t="s">
        <v>45</v>
      </c>
      <c r="EL41" s="10">
        <f>IF(EI41=1, (EK41-$I41)/365.25*12, IF(EI41=0, $DL41, "ERROR"))</f>
        <v>92.517453798767974</v>
      </c>
      <c r="EM41" s="1" t="s">
        <v>45</v>
      </c>
      <c r="EN41" s="1">
        <v>0</v>
      </c>
      <c r="EO41" s="1">
        <v>0</v>
      </c>
      <c r="EP41" s="1">
        <v>0</v>
      </c>
      <c r="EQ41" s="1">
        <v>0</v>
      </c>
      <c r="ER41" s="1">
        <v>0</v>
      </c>
      <c r="ES41" s="1">
        <v>0</v>
      </c>
      <c r="ET41" s="1">
        <v>0</v>
      </c>
      <c r="EU41" s="1">
        <v>0</v>
      </c>
      <c r="EV41" s="1">
        <v>0</v>
      </c>
      <c r="EW41" s="1">
        <f>1-((1-EP41)*(1-ET41)*(1-EU41)*(1-EV41))</f>
        <v>0</v>
      </c>
      <c r="EX41" s="7">
        <v>0</v>
      </c>
      <c r="EY41" s="7">
        <v>0</v>
      </c>
      <c r="EZ41" s="7">
        <v>0</v>
      </c>
      <c r="FA41" s="7">
        <v>0</v>
      </c>
      <c r="FB41" s="1" t="s">
        <v>45</v>
      </c>
      <c r="FC41" s="1">
        <v>0</v>
      </c>
      <c r="FD41" s="1">
        <v>1</v>
      </c>
      <c r="FF41" s="1" t="s">
        <v>45</v>
      </c>
      <c r="FG41" s="3">
        <f>IF(FC41=1, FF41, IF(FD41=1, 44348, DJ41))</f>
        <v>44348</v>
      </c>
      <c r="FH41" s="13">
        <f>(FG41-I41)/365.25*12</f>
        <v>93.634496919917865</v>
      </c>
      <c r="FI41" s="13"/>
      <c r="FJ41" s="14">
        <f>IF(OR(DM41,FC41), 1, 0)</f>
        <v>0</v>
      </c>
      <c r="FK41" s="11">
        <f>IF(DM41=1,IF(FC41=1,MIN(DO41,FF41),DO41),IF(FC41=1,FF41,DJ41))</f>
        <v>44314</v>
      </c>
      <c r="FL41" s="13">
        <f>(FK41-$I41)/365.25*12</f>
        <v>92.517453798767974</v>
      </c>
      <c r="FM41" s="14">
        <f>IF(OR(ED41,FC41), 1, 0)</f>
        <v>0</v>
      </c>
      <c r="FN41" s="11">
        <f>IF(ED41=1,IF(FC41=1,MIN(EE41,FF41),EE41),IF(FC41=1,FF41,DJ41))</f>
        <v>44314</v>
      </c>
      <c r="FO41" s="13">
        <f>(FN41-$I41)/365.25*12</f>
        <v>92.517453798767974</v>
      </c>
      <c r="FP41" s="14">
        <f>IF(OR(EI41,FC41), 1, 0)</f>
        <v>0</v>
      </c>
      <c r="FQ41" s="11">
        <f>IF(EI41=1,IF(FC41=1,MIN(EK41,FF41),EK41),IF(FC41=1,FF41,DJ41))</f>
        <v>44314</v>
      </c>
      <c r="FR41" s="13">
        <f>(FQ41-$I41)/365.25*12</f>
        <v>92.517453798767974</v>
      </c>
      <c r="FS41" s="1" t="s">
        <v>45</v>
      </c>
      <c r="FT41" s="1" t="s">
        <v>1953</v>
      </c>
      <c r="FU41" s="1">
        <v>0</v>
      </c>
      <c r="FV41" s="1">
        <v>0</v>
      </c>
      <c r="FW41" s="1">
        <v>0</v>
      </c>
      <c r="FX41" s="1">
        <v>0</v>
      </c>
    </row>
    <row r="42" spans="1:182" ht="12.75" hidden="1" customHeight="1">
      <c r="A42" s="1" t="s">
        <v>1952</v>
      </c>
      <c r="B42" s="15" t="s">
        <v>1951</v>
      </c>
      <c r="C42" s="1">
        <v>47581089</v>
      </c>
      <c r="D42" s="1">
        <v>0</v>
      </c>
      <c r="E42" s="1">
        <v>0</v>
      </c>
      <c r="F42" s="1">
        <v>0</v>
      </c>
      <c r="G42" s="12">
        <v>1</v>
      </c>
      <c r="I42" s="3">
        <v>42362</v>
      </c>
      <c r="J42" s="3">
        <v>42342</v>
      </c>
      <c r="K42" s="3">
        <v>18178</v>
      </c>
      <c r="L42" s="5">
        <f>(DAYS360(K42,I42))/365</f>
        <v>65.30684931506849</v>
      </c>
      <c r="M42" s="1" t="s">
        <v>5</v>
      </c>
      <c r="N42" s="1">
        <v>1</v>
      </c>
      <c r="O42" s="1">
        <v>0</v>
      </c>
      <c r="P42" s="1" t="s">
        <v>69</v>
      </c>
      <c r="Q42" s="1">
        <v>1</v>
      </c>
      <c r="R42" s="1" t="s">
        <v>209</v>
      </c>
      <c r="S42" s="1" t="s">
        <v>1950</v>
      </c>
      <c r="T42" s="1" t="s">
        <v>67</v>
      </c>
      <c r="U42" s="1">
        <v>0</v>
      </c>
      <c r="V42" s="1">
        <v>0</v>
      </c>
      <c r="W42" s="1">
        <v>1</v>
      </c>
      <c r="X42" s="1" t="s">
        <v>933</v>
      </c>
      <c r="Y42" s="1">
        <v>2</v>
      </c>
      <c r="Z42" s="1">
        <v>1</v>
      </c>
      <c r="AA42" s="1" t="s">
        <v>96</v>
      </c>
      <c r="AC42" s="1">
        <v>5</v>
      </c>
      <c r="AD42" s="1" t="s">
        <v>1949</v>
      </c>
      <c r="AE42" s="1" t="s">
        <v>1835</v>
      </c>
      <c r="AF42" s="1">
        <v>1</v>
      </c>
      <c r="AG42" s="1">
        <v>1</v>
      </c>
      <c r="AH42" s="1">
        <v>1</v>
      </c>
      <c r="AI42" s="3">
        <v>42362</v>
      </c>
      <c r="AJ42" s="3">
        <v>42398</v>
      </c>
      <c r="AK42" s="6" t="s">
        <v>1948</v>
      </c>
      <c r="AL42" s="6" t="s">
        <v>1947</v>
      </c>
      <c r="AM42" s="1">
        <v>1</v>
      </c>
      <c r="AN42" s="1">
        <v>1</v>
      </c>
      <c r="AO42" s="1">
        <v>0</v>
      </c>
      <c r="AP42" s="1">
        <v>0</v>
      </c>
      <c r="AQ42" s="1">
        <v>0</v>
      </c>
      <c r="AR42" s="1">
        <v>0</v>
      </c>
      <c r="AS42" s="1">
        <v>0</v>
      </c>
      <c r="AT42" s="1">
        <v>0</v>
      </c>
      <c r="AU42" s="6" t="s">
        <v>1141</v>
      </c>
      <c r="AV42" s="1">
        <v>0.5</v>
      </c>
      <c r="AW42" s="1"/>
      <c r="AX42" s="6" t="s">
        <v>45</v>
      </c>
      <c r="AY42" s="6" t="s">
        <v>45</v>
      </c>
      <c r="AZ42" s="6" t="s">
        <v>111</v>
      </c>
      <c r="BA42" s="1">
        <f>11.4-8.4+0.3</f>
        <v>3.3</v>
      </c>
      <c r="BB42" s="1">
        <v>323</v>
      </c>
      <c r="BC42" s="1">
        <f>7.2+8.1+0.3</f>
        <v>15.600000000000001</v>
      </c>
      <c r="BD42" s="1">
        <v>2</v>
      </c>
      <c r="BE42" s="1">
        <v>699.7</v>
      </c>
      <c r="BF42" s="1" t="s">
        <v>1946</v>
      </c>
      <c r="BG42" s="1">
        <v>45</v>
      </c>
      <c r="BH42" s="1">
        <v>45</v>
      </c>
      <c r="BI42" s="1">
        <v>0</v>
      </c>
      <c r="BJ42" s="1">
        <v>0</v>
      </c>
      <c r="BK42" s="1">
        <f>BH42+BI42</f>
        <v>45</v>
      </c>
      <c r="BL42" s="1">
        <v>25</v>
      </c>
      <c r="BM42" s="1">
        <v>1.8</v>
      </c>
      <c r="BN42" s="1" t="s">
        <v>110</v>
      </c>
      <c r="BO42" s="1">
        <v>0</v>
      </c>
      <c r="BP42" s="1">
        <v>1</v>
      </c>
      <c r="BQ42" s="1">
        <v>1</v>
      </c>
      <c r="BR42" s="3">
        <v>42362</v>
      </c>
      <c r="BS42" s="1" t="s">
        <v>61</v>
      </c>
      <c r="BT42" s="12" t="s">
        <v>60</v>
      </c>
      <c r="BU42" s="1">
        <v>4</v>
      </c>
      <c r="BV42" s="1">
        <v>0</v>
      </c>
      <c r="BW42" s="1">
        <v>7.6</v>
      </c>
      <c r="BX42" s="1">
        <v>0.52800000000000002</v>
      </c>
      <c r="BY42" s="1">
        <v>0.312</v>
      </c>
      <c r="BZ42" s="1">
        <v>14.1</v>
      </c>
      <c r="CA42" s="1">
        <v>182</v>
      </c>
      <c r="CB42" s="1">
        <v>1.78</v>
      </c>
      <c r="CC42" s="1">
        <v>14.3</v>
      </c>
      <c r="CE42" s="1">
        <v>1</v>
      </c>
      <c r="CF42" s="3">
        <v>42439</v>
      </c>
      <c r="CG42" s="7">
        <f>CF42-AJ42</f>
        <v>41</v>
      </c>
      <c r="CH42" s="1" t="s">
        <v>1945</v>
      </c>
      <c r="CI42" s="17" t="s">
        <v>460</v>
      </c>
      <c r="CJ42" s="17" t="s">
        <v>182</v>
      </c>
      <c r="CK42" s="1" t="s">
        <v>811</v>
      </c>
      <c r="CL42" s="1" t="s">
        <v>45</v>
      </c>
      <c r="CM42" s="1">
        <v>1</v>
      </c>
      <c r="CO42" s="1" t="s">
        <v>662</v>
      </c>
      <c r="CQ42" s="1" t="s">
        <v>45</v>
      </c>
      <c r="CR42" s="1">
        <v>0</v>
      </c>
      <c r="CS42" s="1" t="s">
        <v>45</v>
      </c>
      <c r="CT42" s="1" t="s">
        <v>45</v>
      </c>
      <c r="CU42" s="1" t="s">
        <v>45</v>
      </c>
      <c r="CV42" s="1">
        <v>0</v>
      </c>
      <c r="CW42" s="1" t="s">
        <v>45</v>
      </c>
      <c r="CX42" s="1" t="s">
        <v>45</v>
      </c>
      <c r="CY42" s="1" t="s">
        <v>45</v>
      </c>
      <c r="CZ42" s="1">
        <v>0</v>
      </c>
      <c r="DA42" s="1">
        <v>53</v>
      </c>
      <c r="DB42" s="2">
        <f>CZ42/DA42*100</f>
        <v>0</v>
      </c>
      <c r="DC42" s="1">
        <v>0</v>
      </c>
      <c r="DD42" s="1">
        <v>0</v>
      </c>
      <c r="DE42" s="1">
        <v>0</v>
      </c>
      <c r="DF42" s="1" t="s">
        <v>45</v>
      </c>
      <c r="DG42" s="26" t="s">
        <v>1944</v>
      </c>
      <c r="DH42" s="7">
        <v>0</v>
      </c>
      <c r="DI42" s="7">
        <v>0</v>
      </c>
      <c r="DJ42" s="3">
        <v>42907</v>
      </c>
      <c r="DK42" s="1" t="s">
        <v>88</v>
      </c>
      <c r="DL42" s="12">
        <f>(DJ42-I42)/365.25*12</f>
        <v>17.905544147843941</v>
      </c>
      <c r="DM42" s="1">
        <v>1</v>
      </c>
      <c r="DN42" s="1" t="s">
        <v>1943</v>
      </c>
      <c r="DO42" s="3">
        <v>42660</v>
      </c>
      <c r="DP42" s="6" t="s">
        <v>289</v>
      </c>
      <c r="DQ42" s="7">
        <v>0</v>
      </c>
      <c r="DR42" s="3" t="s">
        <v>45</v>
      </c>
      <c r="DS42" s="10">
        <f>IF(DQ42=1, (DR42-$I42)/365.25*12, IF(DQ42=0, $DL42, "ERROR"))</f>
        <v>17.905544147843941</v>
      </c>
      <c r="DT42" s="7">
        <v>1</v>
      </c>
      <c r="DU42" s="7">
        <v>1</v>
      </c>
      <c r="DV42" s="7">
        <v>1</v>
      </c>
      <c r="DW42" s="16">
        <f>DU42*(1-DV42)</f>
        <v>0</v>
      </c>
      <c r="DX42" s="16">
        <f>(1-DU42)*DV42</f>
        <v>0</v>
      </c>
      <c r="DY42" s="16">
        <f>DU42*DV42</f>
        <v>1</v>
      </c>
      <c r="DZ42" s="3">
        <v>42660</v>
      </c>
      <c r="EA42" s="10">
        <f>IF(DT42=1, (DZ42-$I42)/365.25*12, IF(DT42=0, $DL42, "ERROR"))</f>
        <v>9.7905544147843955</v>
      </c>
      <c r="EB42" s="7">
        <v>0</v>
      </c>
      <c r="EC42" s="7">
        <v>1</v>
      </c>
      <c r="ED42" s="16">
        <f>1-((1-DQ42)*(1-DT42))</f>
        <v>1</v>
      </c>
      <c r="EE42" s="11">
        <f>MIN(DR42,DZ42)</f>
        <v>42660</v>
      </c>
      <c r="EF42" s="6" t="s">
        <v>1942</v>
      </c>
      <c r="EG42" s="7" t="s">
        <v>45</v>
      </c>
      <c r="EH42" s="1" t="s">
        <v>45</v>
      </c>
      <c r="EI42" s="1">
        <v>1</v>
      </c>
      <c r="EJ42" s="16">
        <f>(1-DQ42)*DX42*(1-EI42)</f>
        <v>0</v>
      </c>
      <c r="EK42" s="3">
        <v>42660</v>
      </c>
      <c r="EL42" s="10">
        <f>IF(EI42=1, (EK42-$I42)/365.25*12, IF(EI42=0, $DL42, "ERROR"))</f>
        <v>9.7905544147843955</v>
      </c>
      <c r="EM42" s="1" t="s">
        <v>1941</v>
      </c>
      <c r="EN42" s="7">
        <v>0</v>
      </c>
      <c r="EO42" s="7">
        <v>0</v>
      </c>
      <c r="EP42" s="7">
        <v>0</v>
      </c>
      <c r="EQ42" s="7">
        <v>0</v>
      </c>
      <c r="ER42" s="7">
        <v>0</v>
      </c>
      <c r="ES42" s="7">
        <v>1</v>
      </c>
      <c r="ET42" s="7">
        <v>0</v>
      </c>
      <c r="EU42" s="7">
        <v>0</v>
      </c>
      <c r="EV42" s="7">
        <v>0</v>
      </c>
      <c r="EW42" s="1">
        <f>1-((1-EP42)*(1-ET42)*(1-EU42)*(1-EV42))</f>
        <v>0</v>
      </c>
      <c r="EX42" s="7">
        <v>1</v>
      </c>
      <c r="EY42" s="7">
        <v>0</v>
      </c>
      <c r="EZ42" s="7">
        <v>1</v>
      </c>
      <c r="FA42" s="7">
        <v>0</v>
      </c>
      <c r="FB42" s="1" t="s">
        <v>45</v>
      </c>
      <c r="FC42" s="1">
        <v>1</v>
      </c>
      <c r="FD42" s="1">
        <v>1</v>
      </c>
      <c r="FE42" s="1" t="s">
        <v>291</v>
      </c>
      <c r="FF42" s="3">
        <v>42912</v>
      </c>
      <c r="FG42" s="3">
        <f>IF(FC42=1, FF42, IF(FD42=1, 44348, DJ42))</f>
        <v>42912</v>
      </c>
      <c r="FH42" s="13">
        <f>(FG42-I42)/365.25*12</f>
        <v>18.069815195071868</v>
      </c>
      <c r="FI42" s="13"/>
      <c r="FJ42" s="14">
        <f>IF(OR(DM42,FC42), 1, 0)</f>
        <v>1</v>
      </c>
      <c r="FK42" s="11">
        <f>IF(DM42=1,IF(FC42=1,MIN(DO42,FF42),DO42),IF(FC42=1,FF42,DJ42))</f>
        <v>42660</v>
      </c>
      <c r="FL42" s="13">
        <f>(FK42-$I42)/365.25*12</f>
        <v>9.7905544147843955</v>
      </c>
      <c r="FM42" s="14">
        <f>IF(OR(ED42,FC42), 1, 0)</f>
        <v>1</v>
      </c>
      <c r="FN42" s="11">
        <f>IF(ED42=1,IF(FC42=1,MIN(EE42,FF42),EE42),IF(FC42=1,FF42,DJ42))</f>
        <v>42660</v>
      </c>
      <c r="FO42" s="13">
        <f>(FN42-$I42)/365.25*12</f>
        <v>9.7905544147843955</v>
      </c>
      <c r="FP42" s="14">
        <f>IF(OR(EI42,FC42), 1, 0)</f>
        <v>1</v>
      </c>
      <c r="FQ42" s="11">
        <f>IF(EI42=1,IF(FC42=1,MIN(EK42,FF42),EK42),IF(FC42=1,FF42,DJ42))</f>
        <v>42660</v>
      </c>
      <c r="FR42" s="13">
        <f>(FQ42-$I42)/365.25*12</f>
        <v>9.7905544147843955</v>
      </c>
      <c r="FS42" s="1" t="s">
        <v>45</v>
      </c>
      <c r="FT42" s="1" t="s">
        <v>1940</v>
      </c>
      <c r="FU42" s="1">
        <v>0</v>
      </c>
      <c r="FV42" s="1">
        <v>0</v>
      </c>
      <c r="FW42" s="1">
        <v>0</v>
      </c>
      <c r="FX42" s="1">
        <v>0</v>
      </c>
    </row>
    <row r="43" spans="1:182" ht="12.75" hidden="1" customHeight="1">
      <c r="A43" s="1" t="s">
        <v>1939</v>
      </c>
      <c r="B43" s="15" t="s">
        <v>1938</v>
      </c>
      <c r="C43" s="1">
        <v>47710243</v>
      </c>
      <c r="D43" s="1">
        <v>0</v>
      </c>
      <c r="E43" s="1">
        <v>0</v>
      </c>
      <c r="F43" s="1">
        <v>0</v>
      </c>
      <c r="G43" s="12">
        <v>1</v>
      </c>
      <c r="I43" s="3">
        <v>42394</v>
      </c>
      <c r="J43" s="3">
        <v>42382</v>
      </c>
      <c r="K43" s="3">
        <v>20966</v>
      </c>
      <c r="L43" s="5">
        <f>(DAYS360(K43,I43))/365</f>
        <v>57.860273972602741</v>
      </c>
      <c r="M43" s="1" t="s">
        <v>5</v>
      </c>
      <c r="N43" s="1">
        <v>1</v>
      </c>
      <c r="O43" s="1">
        <v>0</v>
      </c>
      <c r="P43" s="1" t="s">
        <v>69</v>
      </c>
      <c r="Q43" s="1">
        <v>1</v>
      </c>
      <c r="R43" s="1" t="s">
        <v>209</v>
      </c>
      <c r="S43" s="1" t="s">
        <v>1937</v>
      </c>
      <c r="T43" s="1" t="s">
        <v>67</v>
      </c>
      <c r="U43" s="1">
        <v>0</v>
      </c>
      <c r="V43" s="1">
        <v>0</v>
      </c>
      <c r="W43" s="1">
        <v>1</v>
      </c>
      <c r="X43" s="1" t="s">
        <v>296</v>
      </c>
      <c r="Y43" s="1">
        <v>2</v>
      </c>
      <c r="Z43" s="1">
        <v>1</v>
      </c>
      <c r="AA43" s="1" t="s">
        <v>65</v>
      </c>
      <c r="AC43" s="1">
        <v>2</v>
      </c>
      <c r="AD43" s="1" t="s">
        <v>746</v>
      </c>
      <c r="AE43" s="1" t="s">
        <v>114</v>
      </c>
      <c r="AF43" s="1">
        <v>0</v>
      </c>
      <c r="AG43" s="1">
        <v>0</v>
      </c>
      <c r="AH43" s="1">
        <v>0</v>
      </c>
      <c r="AI43" s="3">
        <v>42394</v>
      </c>
      <c r="AJ43" s="3">
        <v>42432</v>
      </c>
      <c r="AK43" s="6" t="s">
        <v>1936</v>
      </c>
      <c r="AL43" s="6" t="s">
        <v>123</v>
      </c>
      <c r="AM43" s="1">
        <v>1</v>
      </c>
      <c r="AN43" s="1">
        <v>1</v>
      </c>
      <c r="AO43" s="1">
        <v>0</v>
      </c>
      <c r="AP43" s="1">
        <v>0</v>
      </c>
      <c r="AQ43" s="1">
        <v>0</v>
      </c>
      <c r="AR43" s="1">
        <v>0</v>
      </c>
      <c r="AS43" s="12">
        <f>IF(AND(AM43=0,AU43&lt;=2), 1, 0)</f>
        <v>0</v>
      </c>
      <c r="AT43" s="12">
        <v>0</v>
      </c>
      <c r="AU43" s="1">
        <v>2</v>
      </c>
      <c r="AV43" s="1">
        <v>0.5</v>
      </c>
      <c r="AW43" s="1"/>
      <c r="AX43" s="6" t="s">
        <v>45</v>
      </c>
      <c r="AY43" s="6" t="s">
        <v>45</v>
      </c>
      <c r="AZ43" s="1">
        <v>0.7</v>
      </c>
      <c r="BA43" s="1">
        <v>4</v>
      </c>
      <c r="BB43" s="1">
        <v>250</v>
      </c>
      <c r="BC43" s="1">
        <f>23-9+0.5</f>
        <v>14.5</v>
      </c>
      <c r="BD43" s="1">
        <v>2</v>
      </c>
      <c r="BE43" s="1">
        <v>533</v>
      </c>
      <c r="BF43" s="1" t="s">
        <v>1335</v>
      </c>
      <c r="BG43" s="1">
        <v>45</v>
      </c>
      <c r="BH43" s="1">
        <v>45</v>
      </c>
      <c r="BI43" s="1">
        <v>0</v>
      </c>
      <c r="BJ43" s="1">
        <v>0</v>
      </c>
      <c r="BK43" s="1">
        <f>BH43+BI43</f>
        <v>45</v>
      </c>
      <c r="BL43" s="1">
        <v>25</v>
      </c>
      <c r="BM43" s="1">
        <v>1.8</v>
      </c>
      <c r="BN43" s="1" t="s">
        <v>110</v>
      </c>
      <c r="BO43" s="1">
        <v>0</v>
      </c>
      <c r="BP43" s="1">
        <v>1</v>
      </c>
      <c r="BQ43" s="1">
        <v>1</v>
      </c>
      <c r="BR43" s="3">
        <v>42394</v>
      </c>
      <c r="BS43" s="1" t="s">
        <v>61</v>
      </c>
      <c r="BT43" s="12" t="s">
        <v>60</v>
      </c>
      <c r="BU43" s="1">
        <v>5</v>
      </c>
      <c r="BV43" s="1">
        <v>1</v>
      </c>
      <c r="BW43" s="1">
        <v>9.5</v>
      </c>
      <c r="BX43" s="1">
        <v>0.64</v>
      </c>
      <c r="BY43" s="1">
        <v>0.246</v>
      </c>
      <c r="BZ43" s="1">
        <v>14.4</v>
      </c>
      <c r="CA43" s="1">
        <v>338</v>
      </c>
      <c r="CB43" s="1">
        <v>1.93</v>
      </c>
      <c r="CC43" s="1">
        <v>5.2</v>
      </c>
      <c r="CD43" s="1">
        <v>3.6</v>
      </c>
      <c r="CE43" s="1">
        <v>1</v>
      </c>
      <c r="CF43" s="3">
        <v>42467</v>
      </c>
      <c r="CG43" s="7">
        <f>CF43-AJ43</f>
        <v>35</v>
      </c>
      <c r="CH43" s="1" t="s">
        <v>1935</v>
      </c>
      <c r="CI43" s="17" t="s">
        <v>460</v>
      </c>
      <c r="CJ43" s="17" t="s">
        <v>182</v>
      </c>
      <c r="CK43" s="1" t="s">
        <v>1251</v>
      </c>
      <c r="CL43" s="1" t="s">
        <v>280</v>
      </c>
      <c r="CM43" s="1">
        <v>0</v>
      </c>
      <c r="CO43" s="1" t="s">
        <v>650</v>
      </c>
      <c r="CQ43" s="1" t="s">
        <v>1934</v>
      </c>
      <c r="CR43" s="1">
        <v>4.3</v>
      </c>
      <c r="CS43" s="1" t="s">
        <v>1014</v>
      </c>
      <c r="CT43" s="1" t="s">
        <v>473</v>
      </c>
      <c r="CU43" s="1" t="s">
        <v>472</v>
      </c>
      <c r="CV43" s="1">
        <v>1</v>
      </c>
      <c r="CW43" s="1">
        <v>0.1</v>
      </c>
      <c r="CX43" s="1">
        <v>10.3</v>
      </c>
      <c r="CY43" s="1">
        <v>0</v>
      </c>
      <c r="CZ43" s="1">
        <v>7</v>
      </c>
      <c r="DA43" s="1">
        <v>50</v>
      </c>
      <c r="DB43" s="2">
        <f>CZ43/DA43*100</f>
        <v>14.000000000000002</v>
      </c>
      <c r="DC43" s="1">
        <v>1</v>
      </c>
      <c r="DD43" s="1">
        <v>0</v>
      </c>
      <c r="DE43" s="1">
        <v>0</v>
      </c>
      <c r="DF43" s="1">
        <v>0</v>
      </c>
      <c r="DG43" s="26" t="s">
        <v>1933</v>
      </c>
      <c r="DH43" s="7">
        <v>1</v>
      </c>
      <c r="DI43" s="7">
        <v>1</v>
      </c>
      <c r="DJ43" s="3">
        <v>42597</v>
      </c>
      <c r="DK43" s="1" t="s">
        <v>339</v>
      </c>
      <c r="DL43" s="12">
        <f>(DJ43-I43)/365.25*12</f>
        <v>6.669404517453799</v>
      </c>
      <c r="DM43" s="1">
        <v>1</v>
      </c>
      <c r="DN43" s="1" t="s">
        <v>1932</v>
      </c>
      <c r="DO43" s="3">
        <v>42531</v>
      </c>
      <c r="DP43" s="6" t="s">
        <v>1931</v>
      </c>
      <c r="DQ43" s="7">
        <v>0</v>
      </c>
      <c r="DR43" s="3" t="s">
        <v>45</v>
      </c>
      <c r="DS43" s="10">
        <f>IF(DQ43=1, (DR43-$I43)/365.25*12, IF(DQ43=0, $DL43, "ERROR"))</f>
        <v>6.669404517453799</v>
      </c>
      <c r="DT43" s="7">
        <v>1</v>
      </c>
      <c r="DU43" s="7">
        <v>1</v>
      </c>
      <c r="DV43" s="7">
        <v>0</v>
      </c>
      <c r="DW43" s="16">
        <f>DU43*(1-DV43)</f>
        <v>1</v>
      </c>
      <c r="DX43" s="16">
        <f>(1-DU43)*DV43</f>
        <v>0</v>
      </c>
      <c r="DY43" s="16">
        <f>DU43*DV43</f>
        <v>0</v>
      </c>
      <c r="DZ43" s="3">
        <v>42592</v>
      </c>
      <c r="EA43" s="10">
        <f>IF(DT43=1, (DZ43-$I43)/365.25*12, IF(DT43=0, $DL43, "ERROR"))</f>
        <v>6.5051334702258732</v>
      </c>
      <c r="EB43" s="7">
        <v>1</v>
      </c>
      <c r="EC43" s="7">
        <v>0</v>
      </c>
      <c r="ED43" s="16">
        <f>1-((1-DQ43)*(1-DT43))</f>
        <v>1</v>
      </c>
      <c r="EE43" s="11">
        <f>MIN(DR43,DZ43)</f>
        <v>42592</v>
      </c>
      <c r="EF43" s="1" t="s">
        <v>1930</v>
      </c>
      <c r="EG43" s="7" t="s">
        <v>49</v>
      </c>
      <c r="EH43" s="1" t="s">
        <v>1929</v>
      </c>
      <c r="EI43" s="1">
        <v>1</v>
      </c>
      <c r="EJ43" s="16">
        <f>(1-DQ43)*DX43*(1-EI43)</f>
        <v>0</v>
      </c>
      <c r="EK43" s="3">
        <v>42531</v>
      </c>
      <c r="EL43" s="10">
        <f>IF(EI43=1, (EK43-$I43)/365.25*12, IF(EI43=0, $DL43, "ERROR"))</f>
        <v>4.5010266940451746</v>
      </c>
      <c r="EM43" s="1" t="s">
        <v>1928</v>
      </c>
      <c r="EN43" s="7">
        <v>1</v>
      </c>
      <c r="EO43" s="7">
        <v>0</v>
      </c>
      <c r="EP43" s="7">
        <v>0</v>
      </c>
      <c r="EQ43" s="7">
        <v>0</v>
      </c>
      <c r="ER43" s="7">
        <v>1</v>
      </c>
      <c r="ES43" s="7">
        <v>1</v>
      </c>
      <c r="ET43" s="7">
        <v>0</v>
      </c>
      <c r="EU43" s="7">
        <v>0</v>
      </c>
      <c r="EV43" s="7">
        <v>0</v>
      </c>
      <c r="EW43" s="1">
        <f>1-((1-EP43)*(1-ET43)*(1-EU43)*(1-EV43))</f>
        <v>0</v>
      </c>
      <c r="EX43" s="7">
        <v>1</v>
      </c>
      <c r="EY43" s="7">
        <v>1</v>
      </c>
      <c r="EZ43" s="7">
        <v>0</v>
      </c>
      <c r="FA43" s="7">
        <v>0</v>
      </c>
      <c r="FB43" s="1" t="s">
        <v>45</v>
      </c>
      <c r="FC43" s="1">
        <v>1</v>
      </c>
      <c r="FD43" s="1">
        <v>1</v>
      </c>
      <c r="FF43" s="3">
        <v>42597</v>
      </c>
      <c r="FG43" s="3">
        <f>IF(FC43=1, FF43, IF(FD43=1, 44348, DJ43))</f>
        <v>42597</v>
      </c>
      <c r="FH43" s="13">
        <f>(FG43-I43)/365.25*12</f>
        <v>6.669404517453799</v>
      </c>
      <c r="FI43" s="13"/>
      <c r="FJ43" s="14">
        <f>IF(OR(DM43,FC43), 1, 0)</f>
        <v>1</v>
      </c>
      <c r="FK43" s="11">
        <f>IF(DM43=1,IF(FC43=1,MIN(DO43,FF43),DO43),IF(FC43=1,FF43,DJ43))</f>
        <v>42531</v>
      </c>
      <c r="FL43" s="13">
        <f>(FK43-$I43)/365.25*12</f>
        <v>4.5010266940451746</v>
      </c>
      <c r="FM43" s="14">
        <f>IF(OR(ED43,FC43), 1, 0)</f>
        <v>1</v>
      </c>
      <c r="FN43" s="11">
        <f>IF(ED43=1,IF(FC43=1,MIN(EE43,FF43),EE43),IF(FC43=1,FF43,DJ43))</f>
        <v>42592</v>
      </c>
      <c r="FO43" s="13">
        <f>(FN43-$I43)/365.25*12</f>
        <v>6.5051334702258732</v>
      </c>
      <c r="FP43" s="14">
        <f>IF(OR(EI43,FC43), 1, 0)</f>
        <v>1</v>
      </c>
      <c r="FQ43" s="11">
        <f>IF(EI43=1,IF(FC43=1,MIN(EK43,FF43),EK43),IF(FC43=1,FF43,DJ43))</f>
        <v>42531</v>
      </c>
      <c r="FR43" s="13">
        <f>(FQ43-$I43)/365.25*12</f>
        <v>4.5010266940451746</v>
      </c>
      <c r="FS43" s="1" t="s">
        <v>45</v>
      </c>
      <c r="FT43" s="1" t="s">
        <v>1927</v>
      </c>
      <c r="FU43" s="1">
        <v>0</v>
      </c>
      <c r="FV43" s="1">
        <v>0</v>
      </c>
      <c r="FW43" s="1">
        <v>0</v>
      </c>
      <c r="FX43" s="1">
        <v>1</v>
      </c>
    </row>
    <row r="44" spans="1:182" ht="12.75" hidden="1" customHeight="1">
      <c r="A44" s="1" t="s">
        <v>1926</v>
      </c>
      <c r="B44" s="15" t="s">
        <v>1925</v>
      </c>
      <c r="C44" s="1">
        <v>51152930</v>
      </c>
      <c r="D44" s="1">
        <v>0</v>
      </c>
      <c r="E44" s="1">
        <v>0</v>
      </c>
      <c r="F44" s="1">
        <v>0</v>
      </c>
      <c r="G44" s="12">
        <v>1</v>
      </c>
      <c r="I44" s="3">
        <v>43332</v>
      </c>
      <c r="J44" s="3">
        <v>43307</v>
      </c>
      <c r="K44" s="3">
        <v>16152</v>
      </c>
      <c r="L44" s="5">
        <f>(DAYS360(K44,I44))/365</f>
        <v>73.394520547945206</v>
      </c>
      <c r="M44" s="1" t="s">
        <v>5</v>
      </c>
      <c r="N44" s="1">
        <v>1</v>
      </c>
      <c r="O44" s="1">
        <v>0</v>
      </c>
      <c r="P44" s="1" t="s">
        <v>69</v>
      </c>
      <c r="Q44" s="1">
        <v>1</v>
      </c>
      <c r="R44" s="1" t="s">
        <v>209</v>
      </c>
      <c r="S44" s="1" t="s">
        <v>45</v>
      </c>
      <c r="T44" s="1" t="s">
        <v>67</v>
      </c>
      <c r="U44" s="1">
        <v>0</v>
      </c>
      <c r="V44" s="1">
        <v>0</v>
      </c>
      <c r="W44" s="1">
        <v>1</v>
      </c>
      <c r="X44" s="1" t="s">
        <v>1351</v>
      </c>
      <c r="Y44" s="1">
        <v>3</v>
      </c>
      <c r="Z44" s="1">
        <v>2</v>
      </c>
      <c r="AA44" s="1" t="s">
        <v>96</v>
      </c>
      <c r="AC44" s="1">
        <v>5</v>
      </c>
      <c r="AD44" s="1" t="s">
        <v>1924</v>
      </c>
      <c r="AE44" s="1" t="s">
        <v>1835</v>
      </c>
      <c r="AF44" s="1">
        <v>1</v>
      </c>
      <c r="AG44" s="1">
        <v>1</v>
      </c>
      <c r="AH44" s="1">
        <v>0</v>
      </c>
      <c r="AI44" s="3">
        <v>43332</v>
      </c>
      <c r="AJ44" s="3">
        <v>43362</v>
      </c>
      <c r="AK44" s="6" t="s">
        <v>1923</v>
      </c>
      <c r="AL44" s="6" t="s">
        <v>1922</v>
      </c>
      <c r="AM44" s="1">
        <v>1</v>
      </c>
      <c r="AN44" s="1">
        <v>1</v>
      </c>
      <c r="AO44" s="1">
        <v>0</v>
      </c>
      <c r="AP44" s="1">
        <v>0</v>
      </c>
      <c r="AQ44" s="1">
        <v>0</v>
      </c>
      <c r="AR44" s="1">
        <v>0</v>
      </c>
      <c r="AS44" s="12">
        <f>IF(AND(AM44=0,AU44&lt;=2), 1, 0)</f>
        <v>0</v>
      </c>
      <c r="AT44" s="12">
        <v>0</v>
      </c>
      <c r="AU44" s="1">
        <v>2</v>
      </c>
      <c r="AV44" s="1">
        <v>0.5</v>
      </c>
      <c r="AW44" s="1"/>
      <c r="AX44" s="6" t="s">
        <v>45</v>
      </c>
      <c r="AY44" s="6" t="s">
        <v>45</v>
      </c>
      <c r="AZ44" s="6" t="s">
        <v>1035</v>
      </c>
      <c r="BA44" s="1">
        <v>20.399999999999999</v>
      </c>
      <c r="BB44" s="1">
        <v>439.4</v>
      </c>
      <c r="BC44" s="1">
        <f>3.9+2.7+0.3</f>
        <v>6.8999999999999995</v>
      </c>
      <c r="BD44" s="1">
        <v>2</v>
      </c>
      <c r="BE44" s="1">
        <v>996.4</v>
      </c>
      <c r="BF44" s="6" t="s">
        <v>1922</v>
      </c>
      <c r="BG44" s="1">
        <v>41.4</v>
      </c>
      <c r="BH44" s="1">
        <v>41.4</v>
      </c>
      <c r="BI44" s="1">
        <v>0</v>
      </c>
      <c r="BJ44" s="1">
        <v>0</v>
      </c>
      <c r="BK44" s="1">
        <f>BH44+BI44</f>
        <v>41.4</v>
      </c>
      <c r="BL44" s="1">
        <v>23</v>
      </c>
      <c r="BM44" s="1">
        <v>1.8</v>
      </c>
      <c r="BN44" s="1" t="s">
        <v>62</v>
      </c>
      <c r="BO44" s="1">
        <v>1</v>
      </c>
      <c r="BP44" s="1">
        <v>1</v>
      </c>
      <c r="BQ44" s="1">
        <v>1</v>
      </c>
      <c r="BR44" s="3">
        <v>43332</v>
      </c>
      <c r="BS44" s="1" t="s">
        <v>1265</v>
      </c>
      <c r="BT44" s="1" t="s">
        <v>1264</v>
      </c>
      <c r="BU44" s="1">
        <v>5</v>
      </c>
      <c r="BV44" s="1">
        <v>1</v>
      </c>
      <c r="BW44" s="1">
        <v>8.6</v>
      </c>
      <c r="BX44" s="1">
        <v>0.78</v>
      </c>
      <c r="BY44" s="1">
        <v>0.1</v>
      </c>
      <c r="BZ44" s="1">
        <v>13.5</v>
      </c>
      <c r="CA44" s="1">
        <v>280</v>
      </c>
      <c r="CB44" s="1">
        <v>1.69</v>
      </c>
      <c r="CC44" s="1">
        <v>23.5</v>
      </c>
      <c r="CD44" s="1">
        <v>11.4</v>
      </c>
      <c r="CE44" s="1">
        <v>1</v>
      </c>
      <c r="CF44" s="3">
        <v>43403</v>
      </c>
      <c r="CG44" s="7">
        <f>CF44-AJ44</f>
        <v>41</v>
      </c>
      <c r="CH44" s="1" t="s">
        <v>1921</v>
      </c>
      <c r="CI44" s="12" t="s">
        <v>183</v>
      </c>
      <c r="CJ44" s="17" t="s">
        <v>182</v>
      </c>
      <c r="CK44" s="1" t="s">
        <v>181</v>
      </c>
      <c r="CL44" s="1" t="s">
        <v>1109</v>
      </c>
      <c r="CM44" s="1">
        <v>0</v>
      </c>
      <c r="CO44" s="1" t="s">
        <v>903</v>
      </c>
      <c r="CQ44" s="1" t="s">
        <v>1920</v>
      </c>
      <c r="CR44" s="1">
        <v>6.8</v>
      </c>
      <c r="CS44" s="1" t="s">
        <v>1014</v>
      </c>
      <c r="CT44" s="1" t="s">
        <v>511</v>
      </c>
      <c r="CU44" s="1" t="s">
        <v>472</v>
      </c>
      <c r="CV44" s="1">
        <v>0</v>
      </c>
      <c r="CW44" s="1">
        <v>13</v>
      </c>
      <c r="CX44" s="1">
        <v>14</v>
      </c>
      <c r="CY44" s="1">
        <v>0.05</v>
      </c>
      <c r="CZ44" s="1">
        <v>5</v>
      </c>
      <c r="DA44" s="1">
        <v>59</v>
      </c>
      <c r="DB44" s="2">
        <f>CZ44/DA44*100</f>
        <v>8.4745762711864394</v>
      </c>
      <c r="DC44" s="1">
        <v>0</v>
      </c>
      <c r="DD44" s="1">
        <v>0</v>
      </c>
      <c r="DE44" s="1">
        <v>0</v>
      </c>
      <c r="DF44" s="1">
        <v>0</v>
      </c>
      <c r="DG44" s="26" t="s">
        <v>1919</v>
      </c>
      <c r="DH44" s="7">
        <v>0</v>
      </c>
      <c r="DI44" s="7">
        <v>0</v>
      </c>
      <c r="DJ44" s="3">
        <v>43600</v>
      </c>
      <c r="DK44" s="1" t="s">
        <v>1918</v>
      </c>
      <c r="DL44" s="12">
        <f>(DJ44-I44)/365.25*12</f>
        <v>8.8049281314168386</v>
      </c>
      <c r="DM44" s="1">
        <v>1</v>
      </c>
      <c r="DN44" s="1" t="s">
        <v>1917</v>
      </c>
      <c r="DO44" s="3">
        <v>43542</v>
      </c>
      <c r="DP44" s="6" t="s">
        <v>289</v>
      </c>
      <c r="DQ44" s="7">
        <v>0</v>
      </c>
      <c r="DR44" s="3" t="s">
        <v>45</v>
      </c>
      <c r="DS44" s="10">
        <f>IF(DQ44=1, (DR44-$I44)/365.25*12, IF(DQ44=0, $DL44, "ERROR"))</f>
        <v>8.8049281314168386</v>
      </c>
      <c r="DT44" s="7">
        <v>1</v>
      </c>
      <c r="DU44" s="7">
        <v>1</v>
      </c>
      <c r="DV44" s="7">
        <v>0</v>
      </c>
      <c r="DW44" s="16">
        <f>DU44*(1-DV44)</f>
        <v>1</v>
      </c>
      <c r="DX44" s="16">
        <f>(1-DU44)*DV44</f>
        <v>0</v>
      </c>
      <c r="DY44" s="16">
        <f>DU44*DV44</f>
        <v>0</v>
      </c>
      <c r="DZ44" s="3">
        <v>43542</v>
      </c>
      <c r="EA44" s="10">
        <f>IF(DT44=1, (DZ44-$I44)/365.25*12, IF(DT44=0, $DL44, "ERROR"))</f>
        <v>6.8993839835728945</v>
      </c>
      <c r="EB44" s="7">
        <v>1</v>
      </c>
      <c r="EC44" s="7">
        <v>0</v>
      </c>
      <c r="ED44" s="16">
        <f>1-((1-DQ44)*(1-DT44))</f>
        <v>1</v>
      </c>
      <c r="EE44" s="11">
        <f>MIN(DR44,DZ44)</f>
        <v>43542</v>
      </c>
      <c r="EF44" s="1" t="s">
        <v>45</v>
      </c>
      <c r="EG44" s="7" t="s">
        <v>45</v>
      </c>
      <c r="EH44" s="1" t="s">
        <v>45</v>
      </c>
      <c r="EI44" s="1">
        <v>1</v>
      </c>
      <c r="EJ44" s="16">
        <f>(1-DQ44)*DX44*(1-EI44)</f>
        <v>0</v>
      </c>
      <c r="EK44" s="3">
        <v>43600</v>
      </c>
      <c r="EL44" s="10">
        <f>IF(EI44=1, (EK44-$I44)/365.25*12, IF(EI44=0, $DL44, "ERROR"))</f>
        <v>8.8049281314168386</v>
      </c>
      <c r="EM44" s="1" t="s">
        <v>1916</v>
      </c>
      <c r="EN44" s="7">
        <v>0</v>
      </c>
      <c r="EO44" s="7">
        <v>0</v>
      </c>
      <c r="EP44" s="7">
        <v>0</v>
      </c>
      <c r="EQ44" s="7">
        <v>0</v>
      </c>
      <c r="ER44" s="7">
        <v>0</v>
      </c>
      <c r="ES44" s="7">
        <v>1</v>
      </c>
      <c r="ET44" s="7">
        <v>0</v>
      </c>
      <c r="EU44" s="7">
        <v>0</v>
      </c>
      <c r="EV44" s="7">
        <v>1</v>
      </c>
      <c r="EW44" s="1">
        <f>1-((1-EP44)*(1-ET44)*(1-EU44)*(1-EV44))</f>
        <v>1</v>
      </c>
      <c r="EX44" s="7">
        <v>1</v>
      </c>
      <c r="EY44" s="7">
        <v>1</v>
      </c>
      <c r="EZ44" s="7">
        <v>0</v>
      </c>
      <c r="FA44" s="7">
        <v>0</v>
      </c>
      <c r="FB44" s="1" t="s">
        <v>45</v>
      </c>
      <c r="FC44" s="1">
        <v>1</v>
      </c>
      <c r="FD44" s="1">
        <v>1</v>
      </c>
      <c r="FF44" s="3">
        <v>43677</v>
      </c>
      <c r="FG44" s="3">
        <f>IF(FC44=1, FF44, IF(FD44=1, 44348, DJ44))</f>
        <v>43677</v>
      </c>
      <c r="FH44" s="13">
        <f>(FG44-I44)/365.25*12</f>
        <v>11.3347022587269</v>
      </c>
      <c r="FI44" s="13"/>
      <c r="FJ44" s="14">
        <f>IF(OR(DM44,FC44), 1, 0)</f>
        <v>1</v>
      </c>
      <c r="FK44" s="11">
        <f>IF(DM44=1,IF(FC44=1,MIN(DO44,FF44),DO44),IF(FC44=1,FF44,DJ44))</f>
        <v>43542</v>
      </c>
      <c r="FL44" s="13">
        <f>(FK44-$I44)/365.25*12</f>
        <v>6.8993839835728945</v>
      </c>
      <c r="FM44" s="14">
        <f>IF(OR(ED44,FC44), 1, 0)</f>
        <v>1</v>
      </c>
      <c r="FN44" s="11">
        <f>IF(ED44=1,IF(FC44=1,MIN(EE44,FF44),EE44),IF(FC44=1,FF44,DJ44))</f>
        <v>43542</v>
      </c>
      <c r="FO44" s="13">
        <f>(FN44-$I44)/365.25*12</f>
        <v>6.8993839835728945</v>
      </c>
      <c r="FP44" s="14">
        <f>IF(OR(EI44,FC44), 1, 0)</f>
        <v>1</v>
      </c>
      <c r="FQ44" s="11">
        <f>IF(EI44=1,IF(FC44=1,MIN(EK44,FF44),EK44),IF(FC44=1,FF44,DJ44))</f>
        <v>43600</v>
      </c>
      <c r="FR44" s="13">
        <f>(FQ44-$I44)/365.25*12</f>
        <v>8.8049281314168386</v>
      </c>
      <c r="FU44" s="1">
        <v>0</v>
      </c>
      <c r="FV44" s="1">
        <v>0</v>
      </c>
      <c r="FW44" s="1">
        <v>0</v>
      </c>
      <c r="FX44" s="1">
        <v>0</v>
      </c>
    </row>
    <row r="45" spans="1:182" ht="12.75" hidden="1" customHeight="1">
      <c r="A45" s="1" t="s">
        <v>1915</v>
      </c>
      <c r="B45" s="15" t="s">
        <v>1914</v>
      </c>
      <c r="C45" s="1">
        <v>47106806</v>
      </c>
      <c r="D45" s="1">
        <v>0</v>
      </c>
      <c r="E45" s="1">
        <v>0</v>
      </c>
      <c r="F45" s="1">
        <v>0</v>
      </c>
      <c r="G45" s="12">
        <v>1</v>
      </c>
      <c r="I45" s="3">
        <v>42213</v>
      </c>
      <c r="J45" s="3">
        <v>42201</v>
      </c>
      <c r="K45" s="3">
        <v>19826</v>
      </c>
      <c r="L45" s="5">
        <f>(DAYS360(K45,I45))/365</f>
        <v>60.454794520547942</v>
      </c>
      <c r="M45" s="1" t="s">
        <v>5</v>
      </c>
      <c r="N45" s="1">
        <v>1</v>
      </c>
      <c r="O45" s="1">
        <v>0</v>
      </c>
      <c r="P45" s="1" t="s">
        <v>69</v>
      </c>
      <c r="Q45" s="1">
        <v>1</v>
      </c>
      <c r="R45" s="1" t="s">
        <v>209</v>
      </c>
      <c r="S45" s="1" t="s">
        <v>1913</v>
      </c>
      <c r="T45" s="1" t="s">
        <v>140</v>
      </c>
      <c r="U45" s="1">
        <v>1</v>
      </c>
      <c r="V45" s="1">
        <v>0</v>
      </c>
      <c r="W45" s="1">
        <v>0</v>
      </c>
      <c r="X45" s="1" t="s">
        <v>117</v>
      </c>
      <c r="Y45" s="1">
        <v>3</v>
      </c>
      <c r="Z45" s="1">
        <v>1</v>
      </c>
      <c r="AA45" s="1" t="s">
        <v>116</v>
      </c>
      <c r="AC45" s="1">
        <v>3</v>
      </c>
      <c r="AD45" s="1" t="s">
        <v>746</v>
      </c>
      <c r="AE45" s="1" t="s">
        <v>114</v>
      </c>
      <c r="AF45" s="1">
        <v>0</v>
      </c>
      <c r="AG45" s="1">
        <v>0</v>
      </c>
      <c r="AH45" s="1">
        <v>0</v>
      </c>
      <c r="AI45" s="3">
        <v>42213</v>
      </c>
      <c r="AJ45" s="3">
        <v>42247</v>
      </c>
      <c r="AK45" s="6" t="s">
        <v>1912</v>
      </c>
      <c r="AL45" s="6" t="s">
        <v>123</v>
      </c>
      <c r="AM45" s="1">
        <v>0</v>
      </c>
      <c r="AN45" s="1">
        <v>0</v>
      </c>
      <c r="AO45" s="1">
        <v>0</v>
      </c>
      <c r="AP45" s="1">
        <v>0</v>
      </c>
      <c r="AQ45" s="1">
        <v>0</v>
      </c>
      <c r="AR45" s="1">
        <v>0</v>
      </c>
      <c r="AS45" s="12">
        <f>IF(AND(AM45=0,AU45&lt;=2), 1, 0)</f>
        <v>1</v>
      </c>
      <c r="AT45" s="12">
        <v>1</v>
      </c>
      <c r="AU45" s="1">
        <v>2</v>
      </c>
      <c r="AV45" s="1">
        <v>0.5</v>
      </c>
      <c r="AW45" s="1">
        <v>0.5</v>
      </c>
      <c r="AX45" s="6" t="s">
        <v>45</v>
      </c>
      <c r="AY45" s="6" t="s">
        <v>45</v>
      </c>
      <c r="AZ45" s="1">
        <v>1</v>
      </c>
      <c r="BA45" s="1">
        <v>6</v>
      </c>
      <c r="BB45" s="1">
        <v>199.1</v>
      </c>
      <c r="BC45" s="1">
        <v>2</v>
      </c>
      <c r="BD45" s="1">
        <v>2</v>
      </c>
      <c r="BE45" s="1">
        <v>483</v>
      </c>
      <c r="BF45" s="1" t="s">
        <v>1335</v>
      </c>
      <c r="BG45" s="1">
        <v>45</v>
      </c>
      <c r="BH45" s="1">
        <v>45</v>
      </c>
      <c r="BI45" s="1">
        <v>0</v>
      </c>
      <c r="BJ45" s="1">
        <v>0</v>
      </c>
      <c r="BK45" s="1">
        <f>BH45+BI45</f>
        <v>45</v>
      </c>
      <c r="BL45" s="1">
        <v>25</v>
      </c>
      <c r="BM45" s="1">
        <v>1.8</v>
      </c>
      <c r="BN45" s="1" t="s">
        <v>110</v>
      </c>
      <c r="BO45" s="1">
        <v>0</v>
      </c>
      <c r="BP45" s="1">
        <v>1</v>
      </c>
      <c r="BQ45" s="1">
        <v>1</v>
      </c>
      <c r="BR45" s="3">
        <v>42213</v>
      </c>
      <c r="BS45" s="1" t="s">
        <v>61</v>
      </c>
      <c r="BT45" s="12" t="s">
        <v>60</v>
      </c>
      <c r="BU45" s="1">
        <v>5</v>
      </c>
      <c r="BV45" s="1">
        <v>1</v>
      </c>
      <c r="BW45" s="1">
        <v>8.06</v>
      </c>
      <c r="BX45" s="1">
        <v>0.60599999999999998</v>
      </c>
      <c r="BY45" s="1">
        <v>0.29199999999999998</v>
      </c>
      <c r="BZ45" s="1">
        <v>15.7</v>
      </c>
      <c r="CA45" s="1">
        <v>195</v>
      </c>
      <c r="CB45" s="1">
        <v>1.95</v>
      </c>
      <c r="CD45" s="1">
        <v>5.3</v>
      </c>
      <c r="CE45" s="1">
        <v>1</v>
      </c>
      <c r="CF45" s="3">
        <v>42297</v>
      </c>
      <c r="CG45" s="7">
        <f>CF45-AJ45</f>
        <v>50</v>
      </c>
      <c r="CH45" s="1" t="s">
        <v>1057</v>
      </c>
      <c r="CI45" s="12" t="s">
        <v>183</v>
      </c>
      <c r="CJ45" s="17" t="s">
        <v>182</v>
      </c>
      <c r="CK45" s="1" t="s">
        <v>181</v>
      </c>
      <c r="CL45" s="1" t="s">
        <v>1109</v>
      </c>
      <c r="CM45" s="1">
        <v>0</v>
      </c>
      <c r="CO45" s="1" t="s">
        <v>650</v>
      </c>
      <c r="CQ45" s="1" t="s">
        <v>1911</v>
      </c>
      <c r="CR45" s="1">
        <v>3.2</v>
      </c>
      <c r="CS45" s="1" t="s">
        <v>1014</v>
      </c>
      <c r="CT45" s="1" t="s">
        <v>1493</v>
      </c>
      <c r="CU45" s="1" t="s">
        <v>1910</v>
      </c>
      <c r="CV45" s="1">
        <v>0</v>
      </c>
      <c r="CW45" s="1">
        <v>0.2</v>
      </c>
      <c r="CX45" s="1">
        <v>9.9</v>
      </c>
      <c r="CY45" s="1">
        <v>0.1</v>
      </c>
      <c r="CZ45" s="1">
        <v>3</v>
      </c>
      <c r="DA45" s="1">
        <v>50</v>
      </c>
      <c r="DB45" s="2">
        <f>CZ45/DA45*100</f>
        <v>6</v>
      </c>
      <c r="DC45" s="1">
        <v>1</v>
      </c>
      <c r="DD45" s="1">
        <v>1</v>
      </c>
      <c r="DE45" s="1">
        <v>0</v>
      </c>
      <c r="DF45" s="1">
        <v>0</v>
      </c>
      <c r="DG45" s="26" t="s">
        <v>1909</v>
      </c>
      <c r="DH45" s="7">
        <v>0</v>
      </c>
      <c r="DI45" s="7">
        <v>1</v>
      </c>
      <c r="DJ45" s="3">
        <v>42562</v>
      </c>
      <c r="DK45" s="1" t="s">
        <v>88</v>
      </c>
      <c r="DL45" s="12">
        <f>(DJ45-I45)/365.25*12</f>
        <v>11.466119096509241</v>
      </c>
      <c r="DM45" s="1">
        <v>1</v>
      </c>
      <c r="DN45" s="1" t="s">
        <v>1908</v>
      </c>
      <c r="DO45" s="3">
        <v>42453</v>
      </c>
      <c r="DP45" s="6" t="s">
        <v>1907</v>
      </c>
      <c r="DQ45" s="7">
        <v>0</v>
      </c>
      <c r="DR45" s="3" t="s">
        <v>45</v>
      </c>
      <c r="DS45" s="10">
        <f>IF(DQ45=1, (DR45-$I45)/365.25*12, IF(DQ45=0, $DL45, "ERROR"))</f>
        <v>11.466119096509241</v>
      </c>
      <c r="DT45" s="7">
        <v>1</v>
      </c>
      <c r="DU45" s="7">
        <v>1</v>
      </c>
      <c r="DV45" s="7">
        <v>1</v>
      </c>
      <c r="DW45" s="16">
        <f>DU45*(1-DV45)</f>
        <v>0</v>
      </c>
      <c r="DX45" s="16">
        <f>(1-DU45)*DV45</f>
        <v>0</v>
      </c>
      <c r="DY45" s="16">
        <f>DU45*DV45</f>
        <v>1</v>
      </c>
      <c r="DZ45" s="3">
        <v>42453</v>
      </c>
      <c r="EA45" s="10">
        <f>IF(DT45=1, (DZ45-$I45)/365.25*12, IF(DT45=0, $DL45, "ERROR"))</f>
        <v>7.8850102669404514</v>
      </c>
      <c r="EB45" s="7">
        <v>1</v>
      </c>
      <c r="EC45" s="7">
        <v>0</v>
      </c>
      <c r="ED45" s="16">
        <f>1-((1-DQ45)*(1-DT45))</f>
        <v>1</v>
      </c>
      <c r="EE45" s="11">
        <f>MIN(DR45,DZ45)</f>
        <v>42453</v>
      </c>
      <c r="EF45" s="1" t="s">
        <v>1906</v>
      </c>
      <c r="EG45" s="7" t="s">
        <v>49</v>
      </c>
      <c r="EH45" s="1" t="s">
        <v>1905</v>
      </c>
      <c r="EI45" s="1">
        <v>1</v>
      </c>
      <c r="EJ45" s="16">
        <f>(1-DQ45)*DX45*(1-EI45)</f>
        <v>0</v>
      </c>
      <c r="EK45" s="3">
        <v>42555</v>
      </c>
      <c r="EL45" s="10">
        <f>IF(EI45=1, (EK45-$I45)/365.25*12, IF(EI45=0, $DL45, "ERROR"))</f>
        <v>11.236139630390143</v>
      </c>
      <c r="EM45" s="1" t="s">
        <v>337</v>
      </c>
      <c r="EN45" s="7">
        <v>1</v>
      </c>
      <c r="EO45" s="7">
        <v>0</v>
      </c>
      <c r="EP45" s="7">
        <v>0</v>
      </c>
      <c r="EQ45" s="7">
        <v>0</v>
      </c>
      <c r="ER45" s="7">
        <v>0</v>
      </c>
      <c r="ES45" s="7">
        <v>0</v>
      </c>
      <c r="ET45" s="7">
        <v>0</v>
      </c>
      <c r="EU45" s="7">
        <v>0</v>
      </c>
      <c r="EV45" s="7">
        <v>0</v>
      </c>
      <c r="EW45" s="1">
        <f>1-((1-EP45)*(1-ET45)*(1-EU45)*(1-EV45))</f>
        <v>0</v>
      </c>
      <c r="EX45" s="7">
        <v>0</v>
      </c>
      <c r="EY45" s="7">
        <v>0</v>
      </c>
      <c r="EZ45" s="7">
        <v>0</v>
      </c>
      <c r="FA45" s="7">
        <v>0</v>
      </c>
      <c r="FB45" s="1" t="s">
        <v>45</v>
      </c>
      <c r="FC45" s="1">
        <v>1</v>
      </c>
      <c r="FD45" s="1">
        <v>1</v>
      </c>
      <c r="FF45" s="3">
        <v>42572</v>
      </c>
      <c r="FG45" s="3">
        <f>IF(FC45=1, FF45, IF(FD45=1, 44348, DJ45))</f>
        <v>42572</v>
      </c>
      <c r="FH45" s="13">
        <f>(FG45-I45)/365.25*12</f>
        <v>11.794661190965092</v>
      </c>
      <c r="FI45" s="13"/>
      <c r="FJ45" s="14">
        <f>IF(OR(DM45,FC45), 1, 0)</f>
        <v>1</v>
      </c>
      <c r="FK45" s="11">
        <f>IF(DM45=1,IF(FC45=1,MIN(DO45,FF45),DO45),IF(FC45=1,FF45,DJ45))</f>
        <v>42453</v>
      </c>
      <c r="FL45" s="13">
        <f>(FK45-$I45)/365.25*12</f>
        <v>7.8850102669404514</v>
      </c>
      <c r="FM45" s="14">
        <f>IF(OR(ED45,FC45), 1, 0)</f>
        <v>1</v>
      </c>
      <c r="FN45" s="11">
        <f>IF(ED45=1,IF(FC45=1,MIN(EE45,FF45),EE45),IF(FC45=1,FF45,DJ45))</f>
        <v>42453</v>
      </c>
      <c r="FO45" s="13">
        <f>(FN45-$I45)/365.25*12</f>
        <v>7.8850102669404514</v>
      </c>
      <c r="FP45" s="14">
        <f>IF(OR(EI45,FC45), 1, 0)</f>
        <v>1</v>
      </c>
      <c r="FQ45" s="11">
        <f>IF(EI45=1,IF(FC45=1,MIN(EK45,FF45),EK45),IF(FC45=1,FF45,DJ45))</f>
        <v>42555</v>
      </c>
      <c r="FR45" s="13">
        <f>(FQ45-$I45)/365.25*12</f>
        <v>11.236139630390143</v>
      </c>
      <c r="FU45" s="1">
        <v>1</v>
      </c>
      <c r="FV45" s="1">
        <v>1</v>
      </c>
      <c r="FW45" s="1">
        <v>0</v>
      </c>
      <c r="FX45" s="1">
        <v>0</v>
      </c>
    </row>
    <row r="46" spans="1:182" ht="12.75" hidden="1" customHeight="1">
      <c r="A46" s="1" t="s">
        <v>1904</v>
      </c>
      <c r="B46" s="15" t="s">
        <v>1903</v>
      </c>
      <c r="C46" s="1">
        <v>44133537</v>
      </c>
      <c r="D46" s="1">
        <v>0</v>
      </c>
      <c r="E46" s="1">
        <v>0</v>
      </c>
      <c r="F46" s="1">
        <v>0</v>
      </c>
      <c r="G46" s="12">
        <v>1</v>
      </c>
      <c r="I46" s="3">
        <v>43236</v>
      </c>
      <c r="J46" s="3">
        <v>43208</v>
      </c>
      <c r="K46" s="3">
        <v>17310</v>
      </c>
      <c r="L46" s="5">
        <f>(DAYS360(K46,I46))/365</f>
        <v>70.008219178082186</v>
      </c>
      <c r="M46" s="1" t="s">
        <v>1</v>
      </c>
      <c r="N46" s="1">
        <v>1</v>
      </c>
      <c r="O46" s="1">
        <v>0</v>
      </c>
      <c r="P46" s="1" t="s">
        <v>69</v>
      </c>
      <c r="Q46" s="1">
        <v>1</v>
      </c>
      <c r="R46" s="1" t="s">
        <v>209</v>
      </c>
      <c r="S46" s="1">
        <v>22</v>
      </c>
      <c r="T46" s="1" t="s">
        <v>98</v>
      </c>
      <c r="U46" s="1">
        <v>1</v>
      </c>
      <c r="V46" s="1">
        <v>1</v>
      </c>
      <c r="W46" s="1">
        <v>0</v>
      </c>
      <c r="X46" s="1" t="s">
        <v>1902</v>
      </c>
      <c r="Y46" s="1">
        <v>1</v>
      </c>
      <c r="Z46" s="1">
        <v>0</v>
      </c>
      <c r="AA46" s="1" t="s">
        <v>96</v>
      </c>
      <c r="AC46" s="1">
        <v>5</v>
      </c>
      <c r="AD46" s="1" t="s">
        <v>437</v>
      </c>
      <c r="AE46" s="1" t="s">
        <v>174</v>
      </c>
      <c r="AF46" s="1">
        <v>1</v>
      </c>
      <c r="AG46" s="1">
        <v>1</v>
      </c>
      <c r="AH46" s="1">
        <v>1</v>
      </c>
      <c r="AI46" s="3">
        <v>43236</v>
      </c>
      <c r="AJ46" s="3">
        <v>43273</v>
      </c>
      <c r="AK46" s="6" t="s">
        <v>1901</v>
      </c>
      <c r="AL46" s="6" t="s">
        <v>172</v>
      </c>
      <c r="AM46" s="1">
        <v>1</v>
      </c>
      <c r="AN46" s="1">
        <v>1</v>
      </c>
      <c r="AO46" s="1">
        <v>1</v>
      </c>
      <c r="AP46" s="1">
        <v>0</v>
      </c>
      <c r="AQ46" s="1">
        <v>0</v>
      </c>
      <c r="AR46" s="1">
        <v>0</v>
      </c>
      <c r="AS46" s="12">
        <f>IF(AND(AM46=0,AU46&lt;=2), 1, 0)</f>
        <v>0</v>
      </c>
      <c r="AT46" s="12">
        <v>0</v>
      </c>
      <c r="AU46" s="1">
        <v>2</v>
      </c>
      <c r="AV46" s="1">
        <v>0.5</v>
      </c>
      <c r="AW46" s="1"/>
      <c r="AX46" s="6" t="s">
        <v>45</v>
      </c>
      <c r="AY46" s="6" t="s">
        <v>45</v>
      </c>
      <c r="AZ46" s="6" t="s">
        <v>92</v>
      </c>
      <c r="BA46" s="1">
        <v>2.4</v>
      </c>
      <c r="BB46" s="1">
        <v>178.1</v>
      </c>
      <c r="BC46" s="1">
        <f>6.9-2.4+0.3</f>
        <v>4.8</v>
      </c>
      <c r="BD46" s="1">
        <v>2</v>
      </c>
      <c r="BE46" s="1">
        <v>385.9</v>
      </c>
      <c r="BF46" s="6" t="s">
        <v>239</v>
      </c>
      <c r="BG46" s="1">
        <v>45</v>
      </c>
      <c r="BH46" s="1">
        <v>45</v>
      </c>
      <c r="BI46" s="1">
        <v>0</v>
      </c>
      <c r="BJ46" s="1">
        <v>0</v>
      </c>
      <c r="BK46" s="1">
        <f>BH46+BI46</f>
        <v>45</v>
      </c>
      <c r="BL46" s="1">
        <v>25</v>
      </c>
      <c r="BM46" s="1">
        <v>1.8</v>
      </c>
      <c r="BN46" s="1" t="s">
        <v>62</v>
      </c>
      <c r="BO46" s="1">
        <v>1</v>
      </c>
      <c r="BP46" s="1">
        <v>1</v>
      </c>
      <c r="BQ46" s="1">
        <v>1</v>
      </c>
      <c r="BR46" s="3">
        <v>43236</v>
      </c>
      <c r="BS46" s="1" t="s">
        <v>61</v>
      </c>
      <c r="BT46" s="12" t="s">
        <v>60</v>
      </c>
      <c r="BU46" s="1">
        <v>5</v>
      </c>
      <c r="BV46" s="1">
        <v>1</v>
      </c>
      <c r="BW46" s="1">
        <v>5.7</v>
      </c>
      <c r="BX46" s="1">
        <v>0.54600000000000004</v>
      </c>
      <c r="BY46" s="1">
        <v>0.27600000000000002</v>
      </c>
      <c r="BZ46" s="1">
        <v>13.9</v>
      </c>
      <c r="CA46" s="1">
        <v>243</v>
      </c>
      <c r="CB46" s="1">
        <v>1.63</v>
      </c>
      <c r="CC46" s="1">
        <v>13.9</v>
      </c>
      <c r="CD46" s="1">
        <v>9</v>
      </c>
      <c r="CE46" s="1">
        <v>1</v>
      </c>
      <c r="CF46" s="3">
        <v>43319</v>
      </c>
      <c r="CG46" s="7">
        <f>CF46-AJ46</f>
        <v>46</v>
      </c>
      <c r="CH46" s="1" t="s">
        <v>1327</v>
      </c>
      <c r="CI46" s="12" t="s">
        <v>183</v>
      </c>
      <c r="CJ46" s="17" t="s">
        <v>182</v>
      </c>
      <c r="CK46" s="1" t="s">
        <v>811</v>
      </c>
      <c r="CL46" s="1" t="s">
        <v>45</v>
      </c>
      <c r="CM46" s="1">
        <v>1</v>
      </c>
      <c r="CO46" s="1" t="s">
        <v>1025</v>
      </c>
      <c r="CQ46" s="1" t="s">
        <v>45</v>
      </c>
      <c r="CR46" s="1">
        <v>0</v>
      </c>
      <c r="CS46" s="1" t="s">
        <v>45</v>
      </c>
      <c r="CT46" s="1" t="s">
        <v>45</v>
      </c>
      <c r="CU46" s="1" t="s">
        <v>45</v>
      </c>
      <c r="CV46" s="1">
        <v>0</v>
      </c>
      <c r="CW46" s="1" t="s">
        <v>45</v>
      </c>
      <c r="CX46" s="1" t="s">
        <v>45</v>
      </c>
      <c r="CY46" s="1" t="s">
        <v>45</v>
      </c>
      <c r="CZ46" s="1">
        <v>0</v>
      </c>
      <c r="DA46" s="1">
        <v>56</v>
      </c>
      <c r="DB46" s="2">
        <f>CZ46/DA46*100</f>
        <v>0</v>
      </c>
      <c r="DC46" s="1">
        <v>0</v>
      </c>
      <c r="DD46" s="1">
        <v>0</v>
      </c>
      <c r="DE46" s="1">
        <v>0</v>
      </c>
      <c r="DF46" s="1">
        <v>0</v>
      </c>
      <c r="DG46" s="26" t="s">
        <v>1900</v>
      </c>
      <c r="DH46" s="7">
        <v>0</v>
      </c>
      <c r="DI46" s="7">
        <v>0</v>
      </c>
      <c r="DJ46" s="3">
        <v>43355</v>
      </c>
      <c r="DK46" s="1" t="s">
        <v>1119</v>
      </c>
      <c r="DL46" s="12">
        <f>(DJ46-I46)/365.25*12</f>
        <v>3.9096509240246409</v>
      </c>
      <c r="DM46" s="1">
        <v>0</v>
      </c>
      <c r="DN46" s="1" t="s">
        <v>45</v>
      </c>
      <c r="DO46" s="1" t="s">
        <v>45</v>
      </c>
      <c r="DP46" s="6" t="s">
        <v>45</v>
      </c>
      <c r="DQ46" s="7">
        <v>0</v>
      </c>
      <c r="DR46" s="3" t="s">
        <v>45</v>
      </c>
      <c r="DS46" s="10">
        <f>IF(DQ46=1, (DR46-$I46)/365.25*12, IF(DQ46=0, $DL46, "ERROR"))</f>
        <v>3.9096509240246409</v>
      </c>
      <c r="DT46" s="7">
        <v>0</v>
      </c>
      <c r="DU46" s="7">
        <v>0</v>
      </c>
      <c r="DV46" s="7">
        <v>0</v>
      </c>
      <c r="DW46" s="16">
        <f>DU46*(1-DV46)</f>
        <v>0</v>
      </c>
      <c r="DX46" s="16">
        <f>(1-DU46)*DV46</f>
        <v>0</v>
      </c>
      <c r="DY46" s="16">
        <f>DU46*DV46</f>
        <v>0</v>
      </c>
      <c r="DZ46" s="3" t="s">
        <v>45</v>
      </c>
      <c r="EA46" s="10">
        <f>IF(DT46=1, (DZ46-$I46)/365.25*12, IF(DT46=0, $DL46, "ERROR"))</f>
        <v>3.9096509240246409</v>
      </c>
      <c r="EB46" s="7">
        <v>0</v>
      </c>
      <c r="EC46" s="7">
        <v>0</v>
      </c>
      <c r="ED46" s="16">
        <f>1-((1-DQ46)*(1-DT46))</f>
        <v>0</v>
      </c>
      <c r="EE46" s="11" t="s">
        <v>45</v>
      </c>
      <c r="EF46" s="1" t="s">
        <v>45</v>
      </c>
      <c r="EG46" s="7" t="s">
        <v>45</v>
      </c>
      <c r="EH46" s="1" t="s">
        <v>45</v>
      </c>
      <c r="EI46" s="1">
        <v>0</v>
      </c>
      <c r="EJ46" s="16">
        <f>(1-DQ46)*DX46*(1-EI46)</f>
        <v>0</v>
      </c>
      <c r="EK46" s="1" t="s">
        <v>45</v>
      </c>
      <c r="EL46" s="10">
        <f>IF(EI46=1, (EK46-$I46)/365.25*12, IF(EI46=0, $DL46, "ERROR"))</f>
        <v>3.9096509240246409</v>
      </c>
      <c r="EM46" s="1" t="s">
        <v>45</v>
      </c>
      <c r="EN46" s="1">
        <v>0</v>
      </c>
      <c r="EO46" s="1">
        <v>0</v>
      </c>
      <c r="EP46" s="1">
        <v>0</v>
      </c>
      <c r="EQ46" s="1">
        <v>0</v>
      </c>
      <c r="ER46" s="1">
        <v>0</v>
      </c>
      <c r="ES46" s="1">
        <v>0</v>
      </c>
      <c r="ET46" s="1">
        <v>0</v>
      </c>
      <c r="EU46" s="1">
        <v>0</v>
      </c>
      <c r="EV46" s="1">
        <v>0</v>
      </c>
      <c r="EW46" s="1">
        <f>1-((1-EP46)*(1-ET46)*(1-EU46)*(1-EV46))</f>
        <v>0</v>
      </c>
      <c r="EX46" s="7">
        <v>0</v>
      </c>
      <c r="EY46" s="7">
        <v>0</v>
      </c>
      <c r="EZ46" s="7">
        <v>0</v>
      </c>
      <c r="FA46" s="7">
        <v>0</v>
      </c>
      <c r="FB46" s="1" t="s">
        <v>45</v>
      </c>
      <c r="FC46" s="1">
        <v>1</v>
      </c>
      <c r="FD46" s="1">
        <v>1</v>
      </c>
      <c r="FF46" s="3">
        <v>43363</v>
      </c>
      <c r="FG46" s="3">
        <f>IF(FC46=1, FF46, IF(FD46=1, 44348, DJ46))</f>
        <v>43363</v>
      </c>
      <c r="FH46" s="13">
        <f>(FG46-I46)/365.25*12</f>
        <v>4.1724845995893221</v>
      </c>
      <c r="FI46" s="13"/>
      <c r="FJ46" s="14">
        <f>IF(OR(DM46,FC46), 1, 0)</f>
        <v>1</v>
      </c>
      <c r="FK46" s="11">
        <f>IF(DM46=1,IF(FC46=1,MIN(DO46,FF46),DO46),IF(FC46=1,FF46,DJ46))</f>
        <v>43363</v>
      </c>
      <c r="FL46" s="13">
        <f>(FK46-$I46)/365.25*12</f>
        <v>4.1724845995893221</v>
      </c>
      <c r="FM46" s="14">
        <f>IF(OR(ED46,FC46), 1, 0)</f>
        <v>1</v>
      </c>
      <c r="FN46" s="11">
        <f>IF(ED46=1,IF(FC46=1,MIN(EE46,FF46),EE46),IF(FC46=1,FF46,DJ46))</f>
        <v>43363</v>
      </c>
      <c r="FO46" s="13">
        <f>(FN46-$I46)/365.25*12</f>
        <v>4.1724845995893221</v>
      </c>
      <c r="FP46" s="14">
        <f>IF(OR(EI46,FC46), 1, 0)</f>
        <v>1</v>
      </c>
      <c r="FQ46" s="11">
        <f>IF(EI46=1,IF(FC46=1,MIN(EK46,FF46),EK46),IF(FC46=1,FF46,DJ46))</f>
        <v>43363</v>
      </c>
      <c r="FR46" s="13">
        <f>(FQ46-$I46)/365.25*12</f>
        <v>4.1724845995893221</v>
      </c>
      <c r="FU46" s="1">
        <v>0</v>
      </c>
      <c r="FV46" s="1">
        <v>0</v>
      </c>
      <c r="FW46" s="1">
        <v>0</v>
      </c>
      <c r="FX46" s="1">
        <v>0</v>
      </c>
    </row>
    <row r="47" spans="1:182" s="17" customFormat="1" ht="12.75" hidden="1" customHeight="1">
      <c r="A47" s="1" t="s">
        <v>1899</v>
      </c>
      <c r="B47" s="15" t="s">
        <v>1898</v>
      </c>
      <c r="C47" s="1">
        <v>51304685</v>
      </c>
      <c r="D47" s="1">
        <v>0</v>
      </c>
      <c r="E47" s="1">
        <v>0</v>
      </c>
      <c r="F47" s="1">
        <v>0</v>
      </c>
      <c r="G47" s="12">
        <v>1</v>
      </c>
      <c r="H47" s="1"/>
      <c r="I47" s="3">
        <v>43355</v>
      </c>
      <c r="J47" s="3">
        <v>43341</v>
      </c>
      <c r="K47" s="3">
        <v>26231</v>
      </c>
      <c r="L47" s="5">
        <f>(DAYS360(K47,I47))/365</f>
        <v>46.238356164383561</v>
      </c>
      <c r="M47" s="1" t="s">
        <v>1</v>
      </c>
      <c r="N47" s="1">
        <v>1</v>
      </c>
      <c r="O47" s="1">
        <v>0</v>
      </c>
      <c r="P47" s="1" t="s">
        <v>69</v>
      </c>
      <c r="Q47" s="1">
        <v>1</v>
      </c>
      <c r="R47" s="1" t="s">
        <v>209</v>
      </c>
      <c r="S47" s="1" t="s">
        <v>1192</v>
      </c>
      <c r="T47" s="1" t="s">
        <v>98</v>
      </c>
      <c r="U47" s="1">
        <v>1</v>
      </c>
      <c r="V47" s="1">
        <v>1</v>
      </c>
      <c r="W47" s="1">
        <v>0</v>
      </c>
      <c r="X47" s="1" t="s">
        <v>1897</v>
      </c>
      <c r="Y47" s="1">
        <v>3</v>
      </c>
      <c r="Z47" s="1">
        <v>0</v>
      </c>
      <c r="AA47" s="1" t="s">
        <v>96</v>
      </c>
      <c r="AB47" s="1"/>
      <c r="AC47" s="1">
        <v>5</v>
      </c>
      <c r="AD47" s="1" t="s">
        <v>1896</v>
      </c>
      <c r="AE47" s="1" t="s">
        <v>1082</v>
      </c>
      <c r="AF47" s="1">
        <v>1</v>
      </c>
      <c r="AG47" s="1">
        <v>1</v>
      </c>
      <c r="AH47" s="1">
        <v>1</v>
      </c>
      <c r="AI47" s="3">
        <v>43355</v>
      </c>
      <c r="AJ47" s="3">
        <v>43396</v>
      </c>
      <c r="AK47" s="6" t="s">
        <v>1895</v>
      </c>
      <c r="AL47" s="6" t="s">
        <v>1894</v>
      </c>
      <c r="AM47" s="1">
        <v>0</v>
      </c>
      <c r="AN47" s="1">
        <v>0</v>
      </c>
      <c r="AO47" s="1">
        <v>0</v>
      </c>
      <c r="AP47" s="1">
        <v>0</v>
      </c>
      <c r="AQ47" s="1">
        <v>1</v>
      </c>
      <c r="AR47" s="1">
        <v>1</v>
      </c>
      <c r="AS47" s="12">
        <f>IF(AND(AM47=0,AU47&lt;=2), 1, 0)</f>
        <v>1</v>
      </c>
      <c r="AT47" s="12">
        <v>1</v>
      </c>
      <c r="AU47" s="1">
        <v>2</v>
      </c>
      <c r="AV47" s="1">
        <v>0.5</v>
      </c>
      <c r="AW47" s="1" t="s">
        <v>45</v>
      </c>
      <c r="AX47" s="6" t="s">
        <v>45</v>
      </c>
      <c r="AY47" s="6" t="s">
        <v>45</v>
      </c>
      <c r="AZ47" s="1">
        <v>0.7</v>
      </c>
      <c r="BA47" s="1">
        <f>7.5-1.5+0.3</f>
        <v>6.3</v>
      </c>
      <c r="BB47" s="1">
        <f>60.6+10.8</f>
        <v>71.400000000000006</v>
      </c>
      <c r="BC47" s="1">
        <v>2</v>
      </c>
      <c r="BD47" s="1">
        <v>2</v>
      </c>
      <c r="BE47" s="1">
        <v>194.9</v>
      </c>
      <c r="BF47" s="1" t="s">
        <v>1894</v>
      </c>
      <c r="BG47" s="1">
        <v>45</v>
      </c>
      <c r="BH47" s="1">
        <v>45</v>
      </c>
      <c r="BI47" s="1">
        <v>0</v>
      </c>
      <c r="BJ47" s="1">
        <v>0</v>
      </c>
      <c r="BK47" s="1">
        <f>BH47+BI47</f>
        <v>45</v>
      </c>
      <c r="BL47" s="1">
        <v>25</v>
      </c>
      <c r="BM47" s="1">
        <v>1.8</v>
      </c>
      <c r="BN47" s="1" t="s">
        <v>62</v>
      </c>
      <c r="BO47" s="1">
        <v>1</v>
      </c>
      <c r="BP47" s="1">
        <v>1</v>
      </c>
      <c r="BQ47" s="1">
        <v>1</v>
      </c>
      <c r="BR47" s="3">
        <v>43355</v>
      </c>
      <c r="BS47" s="1" t="s">
        <v>1265</v>
      </c>
      <c r="BT47" s="1" t="s">
        <v>1264</v>
      </c>
      <c r="BU47" s="1">
        <v>6</v>
      </c>
      <c r="BV47" s="1">
        <v>1</v>
      </c>
      <c r="BW47" s="1">
        <v>8.73</v>
      </c>
      <c r="BX47" s="1">
        <v>0.60799999999999998</v>
      </c>
      <c r="BY47" s="1">
        <v>0.23300000000000001</v>
      </c>
      <c r="BZ47" s="1">
        <v>11.6</v>
      </c>
      <c r="CA47" s="1">
        <v>465</v>
      </c>
      <c r="CB47" s="1">
        <v>1.52</v>
      </c>
      <c r="CC47" s="1"/>
      <c r="CD47" s="1">
        <v>7.1</v>
      </c>
      <c r="CE47" s="1">
        <v>1</v>
      </c>
      <c r="CF47" s="3">
        <v>43431</v>
      </c>
      <c r="CG47" s="7">
        <f>CF47-AJ47</f>
        <v>35</v>
      </c>
      <c r="CH47" s="1" t="s">
        <v>1893</v>
      </c>
      <c r="CI47" s="12" t="s">
        <v>183</v>
      </c>
      <c r="CJ47" s="17" t="s">
        <v>182</v>
      </c>
      <c r="CK47" s="1" t="s">
        <v>1110</v>
      </c>
      <c r="CL47" s="1" t="s">
        <v>1109</v>
      </c>
      <c r="CM47" s="1">
        <v>0</v>
      </c>
      <c r="CN47" s="1"/>
      <c r="CO47" s="1" t="s">
        <v>744</v>
      </c>
      <c r="CP47" s="1"/>
      <c r="CQ47" s="1" t="s">
        <v>1892</v>
      </c>
      <c r="CR47" s="1">
        <v>4.4000000000000004</v>
      </c>
      <c r="CS47" s="1" t="s">
        <v>1002</v>
      </c>
      <c r="CT47" s="1" t="s">
        <v>511</v>
      </c>
      <c r="CU47" s="1" t="s">
        <v>454</v>
      </c>
      <c r="CV47" s="1">
        <v>0</v>
      </c>
      <c r="CW47" s="1">
        <v>2.4</v>
      </c>
      <c r="CX47" s="1">
        <v>9.5</v>
      </c>
      <c r="CY47" s="1">
        <v>0.15</v>
      </c>
      <c r="CZ47" s="1">
        <v>1</v>
      </c>
      <c r="DA47" s="1">
        <v>46</v>
      </c>
      <c r="DB47" s="2">
        <f>CZ47/DA47*100</f>
        <v>2.1739130434782608</v>
      </c>
      <c r="DC47" s="1">
        <v>0</v>
      </c>
      <c r="DD47" s="1">
        <v>0</v>
      </c>
      <c r="DE47" s="1">
        <v>1</v>
      </c>
      <c r="DF47" s="1">
        <v>0</v>
      </c>
      <c r="DG47" s="26" t="s">
        <v>1891</v>
      </c>
      <c r="DH47" s="7">
        <v>0</v>
      </c>
      <c r="DI47" s="7">
        <v>1</v>
      </c>
      <c r="DJ47" s="3">
        <v>43959</v>
      </c>
      <c r="DK47" s="1" t="s">
        <v>88</v>
      </c>
      <c r="DL47" s="12">
        <f>(DJ47-I47)/365.25*12</f>
        <v>19.843942505133469</v>
      </c>
      <c r="DM47" s="1">
        <v>1</v>
      </c>
      <c r="DN47" s="1" t="s">
        <v>1890</v>
      </c>
      <c r="DO47" s="3">
        <v>43628</v>
      </c>
      <c r="DP47" s="6" t="s">
        <v>1889</v>
      </c>
      <c r="DQ47" s="7">
        <v>0</v>
      </c>
      <c r="DR47" s="3" t="s">
        <v>45</v>
      </c>
      <c r="DS47" s="10">
        <f>IF(DQ47=1, (DR47-$I47)/365.25*12, IF(DQ47=0, $DL47, "ERROR"))</f>
        <v>19.843942505133469</v>
      </c>
      <c r="DT47" s="7">
        <v>1</v>
      </c>
      <c r="DU47" s="7">
        <v>0</v>
      </c>
      <c r="DV47" s="7">
        <v>1</v>
      </c>
      <c r="DW47" s="16">
        <f>DU47*(1-DV47)</f>
        <v>0</v>
      </c>
      <c r="DX47" s="16">
        <f>(1-DU47)*DV47</f>
        <v>1</v>
      </c>
      <c r="DY47" s="16">
        <f>DU47*DV47</f>
        <v>0</v>
      </c>
      <c r="DZ47" s="3">
        <v>43815</v>
      </c>
      <c r="EA47" s="10">
        <f>IF(DT47=1, (DZ47-$I47)/365.25*12, IF(DT47=0, $DL47, "ERROR"))</f>
        <v>15.112936344969199</v>
      </c>
      <c r="EB47" s="7">
        <v>1</v>
      </c>
      <c r="EC47" s="7">
        <v>0</v>
      </c>
      <c r="ED47" s="16">
        <f>1-((1-DQ47)*(1-DT47))</f>
        <v>1</v>
      </c>
      <c r="EE47" s="11">
        <f>MIN(DR47,DZ47)</f>
        <v>43815</v>
      </c>
      <c r="EF47" s="1" t="s">
        <v>1888</v>
      </c>
      <c r="EG47" s="7" t="s">
        <v>49</v>
      </c>
      <c r="EH47" s="1" t="s">
        <v>330</v>
      </c>
      <c r="EI47" s="1">
        <v>1</v>
      </c>
      <c r="EJ47" s="16">
        <f>(1-DQ47)*DX47*(1-EI47)</f>
        <v>0</v>
      </c>
      <c r="EK47" s="3">
        <v>43628</v>
      </c>
      <c r="EL47" s="10">
        <f>IF(EI47=1, (EK47-$I47)/365.25*12, IF(EI47=0, $DL47, "ERROR"))</f>
        <v>8.9691991786447645</v>
      </c>
      <c r="EM47" s="1" t="s">
        <v>337</v>
      </c>
      <c r="EN47" s="7">
        <v>1</v>
      </c>
      <c r="EO47" s="7">
        <v>0</v>
      </c>
      <c r="EP47" s="7">
        <v>0</v>
      </c>
      <c r="EQ47" s="7">
        <v>0</v>
      </c>
      <c r="ER47" s="7">
        <v>0</v>
      </c>
      <c r="ES47" s="7">
        <v>0</v>
      </c>
      <c r="ET47" s="7">
        <v>0</v>
      </c>
      <c r="EU47" s="7">
        <v>0</v>
      </c>
      <c r="EV47" s="7">
        <v>0</v>
      </c>
      <c r="EW47" s="1">
        <f>1-((1-EP47)*(1-ET47)*(1-EU47)*(1-EV47))</f>
        <v>0</v>
      </c>
      <c r="EX47" s="7">
        <v>0</v>
      </c>
      <c r="EY47" s="7">
        <v>0</v>
      </c>
      <c r="EZ47" s="7">
        <v>0</v>
      </c>
      <c r="FA47" s="7">
        <v>0</v>
      </c>
      <c r="FB47" s="1" t="s">
        <v>45</v>
      </c>
      <c r="FC47" s="1">
        <v>1</v>
      </c>
      <c r="FD47" s="1">
        <v>1</v>
      </c>
      <c r="FE47" s="1"/>
      <c r="FF47" s="3">
        <v>43984</v>
      </c>
      <c r="FG47" s="3">
        <f>IF(FC47=1, FF47, IF(FD47=1, 44348, DJ47))</f>
        <v>43984</v>
      </c>
      <c r="FH47" s="13">
        <f>(FG47-I47)/365.25*12</f>
        <v>20.6652977412731</v>
      </c>
      <c r="FI47" s="13"/>
      <c r="FJ47" s="14">
        <f>IF(OR(DM47,FC47), 1, 0)</f>
        <v>1</v>
      </c>
      <c r="FK47" s="11">
        <f>IF(DM47=1,IF(FC47=1,MIN(DO47,FF47),DO47),IF(FC47=1,FF47,DJ47))</f>
        <v>43628</v>
      </c>
      <c r="FL47" s="13">
        <f>(FK47-$I47)/365.25*12</f>
        <v>8.9691991786447645</v>
      </c>
      <c r="FM47" s="14">
        <f>IF(OR(ED47,FC47), 1, 0)</f>
        <v>1</v>
      </c>
      <c r="FN47" s="11">
        <f>IF(ED47=1,IF(FC47=1,MIN(EE47,FF47),EE47),IF(FC47=1,FF47,DJ47))</f>
        <v>43815</v>
      </c>
      <c r="FO47" s="13">
        <f>(FN47-$I47)/365.25*12</f>
        <v>15.112936344969199</v>
      </c>
      <c r="FP47" s="14">
        <f>IF(OR(EI47,FC47), 1, 0)</f>
        <v>1</v>
      </c>
      <c r="FQ47" s="11">
        <f>IF(EI47=1,IF(FC47=1,MIN(EK47,FF47),EK47),IF(FC47=1,FF47,DJ47))</f>
        <v>43628</v>
      </c>
      <c r="FR47" s="13">
        <f>(FQ47-$I47)/365.25*12</f>
        <v>8.9691991786447645</v>
      </c>
      <c r="FS47" s="1"/>
      <c r="FT47" s="1"/>
      <c r="FU47" s="1">
        <v>0</v>
      </c>
      <c r="FV47" s="1">
        <v>0</v>
      </c>
      <c r="FW47" s="1">
        <v>0</v>
      </c>
      <c r="FX47" s="1">
        <v>0</v>
      </c>
      <c r="FY47" s="1" t="s">
        <v>1887</v>
      </c>
      <c r="FZ47" s="1"/>
    </row>
    <row r="48" spans="1:182" s="17" customFormat="1" ht="12.75" hidden="1" customHeight="1">
      <c r="A48" s="1" t="s">
        <v>1886</v>
      </c>
      <c r="B48" s="15" t="s">
        <v>1885</v>
      </c>
      <c r="C48" s="1">
        <v>46972769</v>
      </c>
      <c r="D48" s="1">
        <v>0</v>
      </c>
      <c r="E48" s="1">
        <v>0</v>
      </c>
      <c r="F48" s="1">
        <v>0</v>
      </c>
      <c r="G48" s="12">
        <v>1</v>
      </c>
      <c r="H48" s="1"/>
      <c r="I48" s="3">
        <v>42166</v>
      </c>
      <c r="J48" s="3">
        <v>42157</v>
      </c>
      <c r="K48" s="3">
        <v>16388</v>
      </c>
      <c r="L48" s="5">
        <f>(DAYS360(K48,I48))/365</f>
        <v>69.61369863013698</v>
      </c>
      <c r="M48" s="1" t="s">
        <v>5</v>
      </c>
      <c r="N48" s="1">
        <v>1</v>
      </c>
      <c r="O48" s="1">
        <v>0</v>
      </c>
      <c r="P48" s="1" t="s">
        <v>69</v>
      </c>
      <c r="Q48" s="1">
        <v>1</v>
      </c>
      <c r="R48" s="1" t="s">
        <v>18</v>
      </c>
      <c r="S48" s="1" t="s">
        <v>1884</v>
      </c>
      <c r="T48" s="1" t="s">
        <v>67</v>
      </c>
      <c r="U48" s="1">
        <v>0</v>
      </c>
      <c r="V48" s="1">
        <v>0</v>
      </c>
      <c r="W48" s="1">
        <v>1</v>
      </c>
      <c r="X48" s="1" t="s">
        <v>296</v>
      </c>
      <c r="Y48" s="1">
        <v>2</v>
      </c>
      <c r="Z48" s="1">
        <v>1</v>
      </c>
      <c r="AA48" s="1" t="s">
        <v>65</v>
      </c>
      <c r="AB48" s="1"/>
      <c r="AC48" s="1">
        <v>2</v>
      </c>
      <c r="AD48" s="1" t="s">
        <v>1883</v>
      </c>
      <c r="AE48" s="1" t="s">
        <v>114</v>
      </c>
      <c r="AF48" s="1">
        <v>0</v>
      </c>
      <c r="AG48" s="1">
        <v>0</v>
      </c>
      <c r="AH48" s="1">
        <v>0</v>
      </c>
      <c r="AI48" s="3">
        <v>42166</v>
      </c>
      <c r="AJ48" s="3">
        <v>42200</v>
      </c>
      <c r="AK48" s="6" t="s">
        <v>1882</v>
      </c>
      <c r="AL48" s="6" t="s">
        <v>123</v>
      </c>
      <c r="AM48" s="1">
        <v>1</v>
      </c>
      <c r="AN48" s="1">
        <v>1</v>
      </c>
      <c r="AO48" s="1">
        <v>0</v>
      </c>
      <c r="AP48" s="1">
        <v>0</v>
      </c>
      <c r="AQ48" s="1">
        <v>0</v>
      </c>
      <c r="AR48" s="1">
        <v>0</v>
      </c>
      <c r="AS48" s="12">
        <f>IF(AND(AM48=0,AU48&lt;=2), 1, 0)</f>
        <v>0</v>
      </c>
      <c r="AT48" s="12">
        <v>0</v>
      </c>
      <c r="AU48" s="1">
        <v>2</v>
      </c>
      <c r="AV48" s="1">
        <v>0.5</v>
      </c>
      <c r="AW48" s="1"/>
      <c r="AX48" s="6" t="s">
        <v>45</v>
      </c>
      <c r="AY48" s="6" t="s">
        <v>45</v>
      </c>
      <c r="AZ48" s="1">
        <v>1</v>
      </c>
      <c r="BA48" s="1">
        <v>2.7</v>
      </c>
      <c r="BB48" s="1">
        <v>131.30000000000001</v>
      </c>
      <c r="BC48" s="1">
        <f>20.1-5.1+0.3</f>
        <v>15.300000000000002</v>
      </c>
      <c r="BD48" s="1">
        <v>2</v>
      </c>
      <c r="BE48" s="1">
        <v>418.9</v>
      </c>
      <c r="BF48" s="1" t="s">
        <v>123</v>
      </c>
      <c r="BG48" s="1">
        <v>45</v>
      </c>
      <c r="BH48" s="1">
        <v>45</v>
      </c>
      <c r="BI48" s="1">
        <v>0</v>
      </c>
      <c r="BJ48" s="1">
        <v>0</v>
      </c>
      <c r="BK48" s="1">
        <f>BH48+BI48</f>
        <v>45</v>
      </c>
      <c r="BL48" s="1">
        <v>25</v>
      </c>
      <c r="BM48" s="1">
        <v>1.8</v>
      </c>
      <c r="BN48" s="1" t="s">
        <v>110</v>
      </c>
      <c r="BO48" s="1">
        <v>0</v>
      </c>
      <c r="BP48" s="1">
        <v>1</v>
      </c>
      <c r="BQ48" s="1">
        <v>1</v>
      </c>
      <c r="BR48" s="3">
        <v>42166</v>
      </c>
      <c r="BS48" s="1" t="s">
        <v>61</v>
      </c>
      <c r="BT48" s="12" t="s">
        <v>60</v>
      </c>
      <c r="BU48" s="1">
        <v>5</v>
      </c>
      <c r="BV48" s="1">
        <v>1</v>
      </c>
      <c r="BW48" s="1">
        <v>9.07</v>
      </c>
      <c r="BX48" s="1">
        <v>0.54200000000000004</v>
      </c>
      <c r="BY48" s="1">
        <v>0.249</v>
      </c>
      <c r="BZ48" s="1">
        <v>14.7</v>
      </c>
      <c r="CA48" s="1">
        <v>261</v>
      </c>
      <c r="CB48" s="1">
        <v>1.49</v>
      </c>
      <c r="CC48" s="1"/>
      <c r="CD48" s="1">
        <v>5.3</v>
      </c>
      <c r="CE48" s="1">
        <v>1</v>
      </c>
      <c r="CF48" s="3">
        <v>42241</v>
      </c>
      <c r="CG48" s="7">
        <f>CF48-AJ48</f>
        <v>41</v>
      </c>
      <c r="CH48" s="1" t="s">
        <v>1881</v>
      </c>
      <c r="CI48" s="17" t="s">
        <v>460</v>
      </c>
      <c r="CJ48" s="1" t="s">
        <v>515</v>
      </c>
      <c r="CK48" s="1" t="s">
        <v>969</v>
      </c>
      <c r="CL48" s="1" t="s">
        <v>968</v>
      </c>
      <c r="CM48" s="1">
        <v>0</v>
      </c>
      <c r="CN48" s="1"/>
      <c r="CO48" s="1" t="s">
        <v>1004</v>
      </c>
      <c r="CP48" s="1"/>
      <c r="CQ48" s="1" t="s">
        <v>1880</v>
      </c>
      <c r="CR48" s="1">
        <v>2</v>
      </c>
      <c r="CS48" s="1" t="s">
        <v>1014</v>
      </c>
      <c r="CT48" s="1" t="s">
        <v>473</v>
      </c>
      <c r="CU48" s="1" t="s">
        <v>472</v>
      </c>
      <c r="CV48" s="1">
        <v>0</v>
      </c>
      <c r="CW48" s="1">
        <v>6.3</v>
      </c>
      <c r="CX48" s="1">
        <v>4.7</v>
      </c>
      <c r="CY48" s="1">
        <v>0.15</v>
      </c>
      <c r="CZ48" s="1">
        <v>2</v>
      </c>
      <c r="DA48" s="1">
        <v>37</v>
      </c>
      <c r="DB48" s="2">
        <f>CZ48/DA48*100</f>
        <v>5.4054054054054053</v>
      </c>
      <c r="DC48" s="1">
        <v>0</v>
      </c>
      <c r="DD48" s="1">
        <v>0</v>
      </c>
      <c r="DE48" s="1">
        <v>0</v>
      </c>
      <c r="DF48" s="1">
        <v>0</v>
      </c>
      <c r="DG48" s="26" t="s">
        <v>1879</v>
      </c>
      <c r="DH48" s="7">
        <v>0</v>
      </c>
      <c r="DI48" s="7">
        <v>0</v>
      </c>
      <c r="DJ48" s="3">
        <v>44034</v>
      </c>
      <c r="DK48" s="1" t="s">
        <v>75</v>
      </c>
      <c r="DL48" s="12">
        <f>(DJ48-I48)/365.25*12</f>
        <v>61.371663244353179</v>
      </c>
      <c r="DM48" s="1">
        <v>0</v>
      </c>
      <c r="DN48" s="1" t="s">
        <v>45</v>
      </c>
      <c r="DO48" s="1" t="s">
        <v>45</v>
      </c>
      <c r="DP48" s="6" t="s">
        <v>45</v>
      </c>
      <c r="DQ48" s="7">
        <v>0</v>
      </c>
      <c r="DR48" s="3" t="s">
        <v>45</v>
      </c>
      <c r="DS48" s="10">
        <f>IF(DQ48=1, (DR48-$I48)/365.25*12, IF(DQ48=0, $DL48, "ERROR"))</f>
        <v>61.371663244353179</v>
      </c>
      <c r="DT48" s="7">
        <v>0</v>
      </c>
      <c r="DU48" s="7">
        <v>0</v>
      </c>
      <c r="DV48" s="7">
        <v>0</v>
      </c>
      <c r="DW48" s="16">
        <f>DU48*(1-DV48)</f>
        <v>0</v>
      </c>
      <c r="DX48" s="16">
        <f>(1-DU48)*DV48</f>
        <v>0</v>
      </c>
      <c r="DY48" s="16">
        <f>DU48*DV48</f>
        <v>0</v>
      </c>
      <c r="DZ48" s="3" t="s">
        <v>45</v>
      </c>
      <c r="EA48" s="10">
        <f>IF(DT48=1, (DZ48-$I48)/365.25*12, IF(DT48=0, $DL48, "ERROR"))</f>
        <v>61.371663244353179</v>
      </c>
      <c r="EB48" s="7">
        <v>0</v>
      </c>
      <c r="EC48" s="7">
        <v>0</v>
      </c>
      <c r="ED48" s="16">
        <f>1-((1-DQ48)*(1-DT48))</f>
        <v>0</v>
      </c>
      <c r="EE48" s="11" t="s">
        <v>45</v>
      </c>
      <c r="EF48" s="1" t="s">
        <v>45</v>
      </c>
      <c r="EG48" s="7" t="s">
        <v>45</v>
      </c>
      <c r="EH48" s="1" t="s">
        <v>45</v>
      </c>
      <c r="EI48" s="1">
        <v>0</v>
      </c>
      <c r="EJ48" s="16">
        <f>(1-DQ48)*DX48*(1-EI48)</f>
        <v>0</v>
      </c>
      <c r="EK48" s="1" t="s">
        <v>45</v>
      </c>
      <c r="EL48" s="10">
        <f>IF(EI48=1, (EK48-$I48)/365.25*12, IF(EI48=0, $DL48, "ERROR"))</f>
        <v>61.371663244353179</v>
      </c>
      <c r="EM48" s="1" t="s">
        <v>45</v>
      </c>
      <c r="EN48" s="1">
        <v>0</v>
      </c>
      <c r="EO48" s="1">
        <v>0</v>
      </c>
      <c r="EP48" s="1">
        <v>0</v>
      </c>
      <c r="EQ48" s="1">
        <v>0</v>
      </c>
      <c r="ER48" s="1">
        <v>0</v>
      </c>
      <c r="ES48" s="1">
        <v>0</v>
      </c>
      <c r="ET48" s="1">
        <v>0</v>
      </c>
      <c r="EU48" s="1">
        <v>0</v>
      </c>
      <c r="EV48" s="1">
        <v>0</v>
      </c>
      <c r="EW48" s="1">
        <f>1-((1-EP48)*(1-ET48)*(1-EU48)*(1-EV48))</f>
        <v>0</v>
      </c>
      <c r="EX48" s="7">
        <v>0</v>
      </c>
      <c r="EY48" s="7">
        <v>0</v>
      </c>
      <c r="EZ48" s="7">
        <v>0</v>
      </c>
      <c r="FA48" s="7">
        <v>0</v>
      </c>
      <c r="FB48" s="1" t="s">
        <v>45</v>
      </c>
      <c r="FC48" s="1">
        <v>0</v>
      </c>
      <c r="FD48" s="1">
        <v>1</v>
      </c>
      <c r="FE48" s="1"/>
      <c r="FF48" s="1" t="s">
        <v>45</v>
      </c>
      <c r="FG48" s="3">
        <f>IF(FC48=1, FF48, IF(FD48=1, 44348, DJ48))</f>
        <v>44348</v>
      </c>
      <c r="FH48" s="13">
        <f>(FG48-I48)/365.25*12</f>
        <v>71.687885010266939</v>
      </c>
      <c r="FI48" s="13"/>
      <c r="FJ48" s="14">
        <f>IF(OR(DM48,FC48), 1, 0)</f>
        <v>0</v>
      </c>
      <c r="FK48" s="11">
        <f>IF(DM48=1,IF(FC48=1,MIN(DO48,FF48),DO48),IF(FC48=1,FF48,DJ48))</f>
        <v>44034</v>
      </c>
      <c r="FL48" s="13">
        <f>(FK48-$I48)/365.25*12</f>
        <v>61.371663244353179</v>
      </c>
      <c r="FM48" s="14">
        <f>IF(OR(ED48,FC48), 1, 0)</f>
        <v>0</v>
      </c>
      <c r="FN48" s="11">
        <f>IF(ED48=1,IF(FC48=1,MIN(EE48,FF48),EE48),IF(FC48=1,FF48,DJ48))</f>
        <v>44034</v>
      </c>
      <c r="FO48" s="13">
        <f>(FN48-$I48)/365.25*12</f>
        <v>61.371663244353179</v>
      </c>
      <c r="FP48" s="14">
        <f>IF(OR(EI48,FC48), 1, 0)</f>
        <v>0</v>
      </c>
      <c r="FQ48" s="11">
        <f>IF(EI48=1,IF(FC48=1,MIN(EK48,FF48),EK48),IF(FC48=1,FF48,DJ48))</f>
        <v>44034</v>
      </c>
      <c r="FR48" s="13">
        <f>(FQ48-$I48)/365.25*12</f>
        <v>61.371663244353179</v>
      </c>
      <c r="FS48" s="1"/>
      <c r="FT48" s="1"/>
      <c r="FU48" s="1">
        <v>0</v>
      </c>
      <c r="FV48" s="1">
        <v>0</v>
      </c>
      <c r="FW48" s="1">
        <v>0</v>
      </c>
      <c r="FX48" s="1">
        <v>0</v>
      </c>
      <c r="FY48" s="1"/>
      <c r="FZ48" s="1"/>
    </row>
    <row r="49" spans="1:182" s="17" customFormat="1" ht="12.75" hidden="1" customHeight="1">
      <c r="A49" s="1" t="s">
        <v>1878</v>
      </c>
      <c r="B49" s="15" t="s">
        <v>1877</v>
      </c>
      <c r="C49" s="1">
        <v>45122600</v>
      </c>
      <c r="D49" s="1">
        <v>0</v>
      </c>
      <c r="E49" s="1">
        <v>0</v>
      </c>
      <c r="F49" s="1">
        <v>0</v>
      </c>
      <c r="G49" s="12">
        <v>1</v>
      </c>
      <c r="H49" s="1"/>
      <c r="I49" s="3">
        <v>41624</v>
      </c>
      <c r="J49" s="3">
        <v>41611</v>
      </c>
      <c r="K49" s="3">
        <v>20103</v>
      </c>
      <c r="L49" s="5">
        <f>(DAYS360(K49,I49))/365</f>
        <v>58.115068493150687</v>
      </c>
      <c r="M49" s="1" t="s">
        <v>5</v>
      </c>
      <c r="N49" s="1">
        <v>0</v>
      </c>
      <c r="O49" s="1">
        <v>0</v>
      </c>
      <c r="P49" s="1" t="s">
        <v>81</v>
      </c>
      <c r="Q49" s="1">
        <v>2</v>
      </c>
      <c r="R49" s="1" t="s">
        <v>18</v>
      </c>
      <c r="S49" s="1" t="s">
        <v>806</v>
      </c>
      <c r="T49" s="1" t="s">
        <v>80</v>
      </c>
      <c r="U49" s="1">
        <v>0</v>
      </c>
      <c r="V49" s="1">
        <v>1</v>
      </c>
      <c r="W49" s="1">
        <v>0</v>
      </c>
      <c r="X49" s="1" t="s">
        <v>1876</v>
      </c>
      <c r="Y49" s="1">
        <v>2</v>
      </c>
      <c r="Z49" s="1">
        <v>1</v>
      </c>
      <c r="AA49" s="1" t="s">
        <v>96</v>
      </c>
      <c r="AB49" s="1"/>
      <c r="AC49" s="1">
        <v>5</v>
      </c>
      <c r="AD49" s="1" t="s">
        <v>1875</v>
      </c>
      <c r="AE49" s="1" t="s">
        <v>1874</v>
      </c>
      <c r="AF49" s="1">
        <v>1</v>
      </c>
      <c r="AG49" s="1">
        <v>1</v>
      </c>
      <c r="AH49" s="1">
        <v>0</v>
      </c>
      <c r="AI49" s="3">
        <v>41624</v>
      </c>
      <c r="AJ49" s="3">
        <v>41660</v>
      </c>
      <c r="AK49" s="6" t="s">
        <v>1873</v>
      </c>
      <c r="AL49" s="6" t="s">
        <v>1872</v>
      </c>
      <c r="AM49" s="1">
        <v>0</v>
      </c>
      <c r="AN49" s="1">
        <v>0</v>
      </c>
      <c r="AO49" s="1">
        <v>0</v>
      </c>
      <c r="AP49" s="1">
        <v>0</v>
      </c>
      <c r="AQ49" s="1">
        <v>0</v>
      </c>
      <c r="AR49" s="1">
        <v>0</v>
      </c>
      <c r="AS49" s="12">
        <f>IF(AND(AM49=0,AU49&lt;=2), 1, 0)</f>
        <v>0</v>
      </c>
      <c r="AT49" s="12">
        <v>0</v>
      </c>
      <c r="AU49" s="1">
        <v>4</v>
      </c>
      <c r="AV49" s="1">
        <v>1</v>
      </c>
      <c r="AW49" s="1"/>
      <c r="AX49" s="6" t="s">
        <v>45</v>
      </c>
      <c r="AY49" s="6" t="s">
        <v>45</v>
      </c>
      <c r="AZ49" s="6" t="s">
        <v>111</v>
      </c>
      <c r="BA49" s="1">
        <v>5.5</v>
      </c>
      <c r="BB49" s="1">
        <v>208.5</v>
      </c>
      <c r="BC49" s="1">
        <f>6.5-1.5+0.5</f>
        <v>5.5</v>
      </c>
      <c r="BD49" s="1">
        <v>4</v>
      </c>
      <c r="BE49" s="1">
        <v>620.29999999999995</v>
      </c>
      <c r="BF49" s="6" t="s">
        <v>1872</v>
      </c>
      <c r="BG49" s="1">
        <v>45</v>
      </c>
      <c r="BH49" s="1">
        <v>45</v>
      </c>
      <c r="BI49" s="1">
        <v>0</v>
      </c>
      <c r="BJ49" s="1">
        <v>0</v>
      </c>
      <c r="BK49" s="1">
        <f>BH49+BI49</f>
        <v>45</v>
      </c>
      <c r="BL49" s="1">
        <v>25</v>
      </c>
      <c r="BM49" s="1">
        <v>1.8</v>
      </c>
      <c r="BN49" s="1" t="s">
        <v>110</v>
      </c>
      <c r="BO49" s="1">
        <v>0</v>
      </c>
      <c r="BP49" s="1">
        <v>1</v>
      </c>
      <c r="BQ49" s="1">
        <v>1</v>
      </c>
      <c r="BR49" s="3">
        <v>41624</v>
      </c>
      <c r="BS49" s="1" t="s">
        <v>109</v>
      </c>
      <c r="BT49" s="12" t="s">
        <v>90</v>
      </c>
      <c r="BU49" s="1">
        <v>2</v>
      </c>
      <c r="BV49" s="1">
        <v>1</v>
      </c>
      <c r="BW49" s="1">
        <v>4.7699999999999996</v>
      </c>
      <c r="BX49" s="1">
        <v>0.64200000000000002</v>
      </c>
      <c r="BY49" s="1">
        <v>0.24299999999999999</v>
      </c>
      <c r="BZ49" s="1">
        <v>14.6</v>
      </c>
      <c r="CA49" s="1">
        <v>218</v>
      </c>
      <c r="CB49" s="1">
        <v>1.92</v>
      </c>
      <c r="CC49" s="1">
        <v>14.4</v>
      </c>
      <c r="CD49" s="1">
        <v>4.0199999999999996</v>
      </c>
      <c r="CE49" s="1">
        <v>1</v>
      </c>
      <c r="CF49" s="3">
        <v>41711</v>
      </c>
      <c r="CG49" s="7">
        <f>CF49-AJ49</f>
        <v>51</v>
      </c>
      <c r="CH49" s="1" t="s">
        <v>1871</v>
      </c>
      <c r="CI49" s="17" t="s">
        <v>460</v>
      </c>
      <c r="CJ49" s="17" t="s">
        <v>182</v>
      </c>
      <c r="CK49" s="1" t="s">
        <v>811</v>
      </c>
      <c r="CL49" s="1" t="s">
        <v>45</v>
      </c>
      <c r="CM49" s="1">
        <v>1</v>
      </c>
      <c r="CN49" s="1"/>
      <c r="CO49" s="1" t="s">
        <v>662</v>
      </c>
      <c r="CP49" s="1"/>
      <c r="CQ49" s="1" t="s">
        <v>45</v>
      </c>
      <c r="CR49" s="1">
        <v>0</v>
      </c>
      <c r="CS49" s="1" t="s">
        <v>45</v>
      </c>
      <c r="CT49" s="1" t="s">
        <v>45</v>
      </c>
      <c r="CU49" s="1" t="s">
        <v>45</v>
      </c>
      <c r="CV49" s="1">
        <v>0</v>
      </c>
      <c r="CW49" s="1" t="s">
        <v>45</v>
      </c>
      <c r="CX49" s="1" t="s">
        <v>45</v>
      </c>
      <c r="CY49" s="1" t="s">
        <v>45</v>
      </c>
      <c r="CZ49" s="1">
        <v>0</v>
      </c>
      <c r="DA49" s="1">
        <v>63</v>
      </c>
      <c r="DB49" s="2">
        <f>CZ49/DA49*100</f>
        <v>0</v>
      </c>
      <c r="DC49" s="1">
        <v>0</v>
      </c>
      <c r="DD49" s="1">
        <v>0</v>
      </c>
      <c r="DE49" s="1">
        <v>0</v>
      </c>
      <c r="DF49" s="1" t="s">
        <v>45</v>
      </c>
      <c r="DG49" s="26" t="s">
        <v>1870</v>
      </c>
      <c r="DH49" s="7">
        <v>0</v>
      </c>
      <c r="DI49" s="7">
        <v>0</v>
      </c>
      <c r="DJ49" s="3">
        <v>44055</v>
      </c>
      <c r="DK49" s="1" t="s">
        <v>75</v>
      </c>
      <c r="DL49" s="12">
        <f>(DJ49-I49)/365.25*12</f>
        <v>79.868583162217661</v>
      </c>
      <c r="DM49" s="1">
        <v>0</v>
      </c>
      <c r="DN49" s="1" t="s">
        <v>45</v>
      </c>
      <c r="DO49" s="1" t="s">
        <v>45</v>
      </c>
      <c r="DP49" s="6" t="s">
        <v>45</v>
      </c>
      <c r="DQ49" s="7">
        <v>0</v>
      </c>
      <c r="DR49" s="3" t="s">
        <v>45</v>
      </c>
      <c r="DS49" s="10">
        <f>IF(DQ49=1, (DR49-$I49)/365.25*12, IF(DQ49=0, $DL49, "ERROR"))</f>
        <v>79.868583162217661</v>
      </c>
      <c r="DT49" s="7">
        <v>0</v>
      </c>
      <c r="DU49" s="7">
        <v>0</v>
      </c>
      <c r="DV49" s="7">
        <v>0</v>
      </c>
      <c r="DW49" s="16">
        <f>DU49*(1-DV49)</f>
        <v>0</v>
      </c>
      <c r="DX49" s="16">
        <f>(1-DU49)*DV49</f>
        <v>0</v>
      </c>
      <c r="DY49" s="16">
        <f>DU49*DV49</f>
        <v>0</v>
      </c>
      <c r="DZ49" s="3" t="s">
        <v>45</v>
      </c>
      <c r="EA49" s="10">
        <f>IF(DT49=1, (DZ49-$I49)/365.25*12, IF(DT49=0, $DL49, "ERROR"))</f>
        <v>79.868583162217661</v>
      </c>
      <c r="EB49" s="7">
        <v>0</v>
      </c>
      <c r="EC49" s="7">
        <v>0</v>
      </c>
      <c r="ED49" s="16">
        <f>1-((1-DQ49)*(1-DT49))</f>
        <v>0</v>
      </c>
      <c r="EE49" s="11" t="s">
        <v>45</v>
      </c>
      <c r="EF49" s="1" t="s">
        <v>45</v>
      </c>
      <c r="EG49" s="7" t="s">
        <v>45</v>
      </c>
      <c r="EH49" s="1" t="s">
        <v>45</v>
      </c>
      <c r="EI49" s="1">
        <v>0</v>
      </c>
      <c r="EJ49" s="16">
        <f>(1-DQ49)*DX49*(1-EI49)</f>
        <v>0</v>
      </c>
      <c r="EK49" s="1" t="s">
        <v>45</v>
      </c>
      <c r="EL49" s="10">
        <f>IF(EI49=1, (EK49-$I49)/365.25*12, IF(EI49=0, $DL49, "ERROR"))</f>
        <v>79.868583162217661</v>
      </c>
      <c r="EM49" s="1" t="s">
        <v>45</v>
      </c>
      <c r="EN49" s="1">
        <v>0</v>
      </c>
      <c r="EO49" s="1">
        <v>0</v>
      </c>
      <c r="EP49" s="1">
        <v>0</v>
      </c>
      <c r="EQ49" s="1">
        <v>0</v>
      </c>
      <c r="ER49" s="1">
        <v>0</v>
      </c>
      <c r="ES49" s="1">
        <v>0</v>
      </c>
      <c r="ET49" s="1">
        <v>0</v>
      </c>
      <c r="EU49" s="1">
        <v>0</v>
      </c>
      <c r="EV49" s="1">
        <v>0</v>
      </c>
      <c r="EW49" s="1">
        <f>1-((1-EP49)*(1-ET49)*(1-EU49)*(1-EV49))</f>
        <v>0</v>
      </c>
      <c r="EX49" s="7">
        <v>0</v>
      </c>
      <c r="EY49" s="7">
        <v>0</v>
      </c>
      <c r="EZ49" s="7">
        <v>0</v>
      </c>
      <c r="FA49" s="7">
        <v>0</v>
      </c>
      <c r="FB49" s="1" t="s">
        <v>45</v>
      </c>
      <c r="FC49" s="1">
        <v>0</v>
      </c>
      <c r="FD49" s="1">
        <v>1</v>
      </c>
      <c r="FE49" s="1"/>
      <c r="FF49" s="1" t="s">
        <v>45</v>
      </c>
      <c r="FG49" s="3">
        <f>IF(FC49=1, FF49, IF(FD49=1, 44348, DJ49))</f>
        <v>44348</v>
      </c>
      <c r="FH49" s="13">
        <f>(FG49-I49)/365.25*12</f>
        <v>89.494866529774129</v>
      </c>
      <c r="FI49" s="13"/>
      <c r="FJ49" s="14">
        <f>IF(OR(DM49,FC49), 1, 0)</f>
        <v>0</v>
      </c>
      <c r="FK49" s="11">
        <f>IF(DM49=1,IF(FC49=1,MIN(DO49,FF49),DO49),IF(FC49=1,FF49,DJ49))</f>
        <v>44055</v>
      </c>
      <c r="FL49" s="13">
        <f>(FK49-$I49)/365.25*12</f>
        <v>79.868583162217661</v>
      </c>
      <c r="FM49" s="14">
        <f>IF(OR(ED49,FC49), 1, 0)</f>
        <v>0</v>
      </c>
      <c r="FN49" s="11">
        <f>IF(ED49=1,IF(FC49=1,MIN(EE49,FF49),EE49),IF(FC49=1,FF49,DJ49))</f>
        <v>44055</v>
      </c>
      <c r="FO49" s="13">
        <f>(FN49-$I49)/365.25*12</f>
        <v>79.868583162217661</v>
      </c>
      <c r="FP49" s="14">
        <f>IF(OR(EI49,FC49), 1, 0)</f>
        <v>0</v>
      </c>
      <c r="FQ49" s="11">
        <f>IF(EI49=1,IF(FC49=1,MIN(EK49,FF49),EK49),IF(FC49=1,FF49,DJ49))</f>
        <v>44055</v>
      </c>
      <c r="FR49" s="13">
        <f>(FQ49-$I49)/365.25*12</f>
        <v>79.868583162217661</v>
      </c>
      <c r="FS49" s="1"/>
      <c r="FT49" s="1"/>
      <c r="FU49" s="1">
        <v>0</v>
      </c>
      <c r="FV49" s="1">
        <v>0</v>
      </c>
      <c r="FW49" s="1">
        <v>0</v>
      </c>
      <c r="FX49" s="1">
        <v>0</v>
      </c>
      <c r="FY49" s="1"/>
      <c r="FZ49" s="1"/>
    </row>
    <row r="50" spans="1:182" s="17" customFormat="1" ht="12.75" hidden="1" customHeight="1">
      <c r="A50" s="1" t="s">
        <v>1869</v>
      </c>
      <c r="B50" s="15" t="s">
        <v>1868</v>
      </c>
      <c r="C50" s="1">
        <v>47292187</v>
      </c>
      <c r="D50" s="1">
        <v>0</v>
      </c>
      <c r="E50" s="1">
        <v>0</v>
      </c>
      <c r="F50" s="1">
        <v>0</v>
      </c>
      <c r="G50" s="12">
        <v>1</v>
      </c>
      <c r="H50" s="1"/>
      <c r="I50" s="3">
        <v>42271</v>
      </c>
      <c r="J50" s="3">
        <v>42257</v>
      </c>
      <c r="K50" s="3">
        <v>15275</v>
      </c>
      <c r="L50" s="5">
        <f>(DAYS360(K50,I50))/365</f>
        <v>72.898630136986299</v>
      </c>
      <c r="M50" s="1" t="s">
        <v>5</v>
      </c>
      <c r="N50" s="1">
        <v>1</v>
      </c>
      <c r="O50" s="1">
        <v>0</v>
      </c>
      <c r="P50" s="1" t="s">
        <v>69</v>
      </c>
      <c r="Q50" s="1">
        <v>1</v>
      </c>
      <c r="R50" s="1" t="s">
        <v>18</v>
      </c>
      <c r="S50" s="1" t="s">
        <v>141</v>
      </c>
      <c r="T50" s="1" t="s">
        <v>140</v>
      </c>
      <c r="U50" s="1">
        <v>1</v>
      </c>
      <c r="V50" s="1">
        <v>0</v>
      </c>
      <c r="W50" s="1">
        <v>0</v>
      </c>
      <c r="X50" s="1" t="s">
        <v>933</v>
      </c>
      <c r="Y50" s="1">
        <v>2</v>
      </c>
      <c r="Z50" s="1">
        <v>1</v>
      </c>
      <c r="AA50" s="1" t="s">
        <v>96</v>
      </c>
      <c r="AB50" s="1"/>
      <c r="AC50" s="1">
        <v>5</v>
      </c>
      <c r="AD50" s="1" t="s">
        <v>1867</v>
      </c>
      <c r="AE50" s="1" t="s">
        <v>1082</v>
      </c>
      <c r="AF50" s="1">
        <v>1</v>
      </c>
      <c r="AG50" s="1">
        <v>1</v>
      </c>
      <c r="AH50" s="1">
        <v>1</v>
      </c>
      <c r="AI50" s="3">
        <v>42271</v>
      </c>
      <c r="AJ50" s="3">
        <v>42311</v>
      </c>
      <c r="AK50" s="6" t="s">
        <v>1866</v>
      </c>
      <c r="AL50" s="6" t="s">
        <v>1320</v>
      </c>
      <c r="AM50" s="1">
        <v>1</v>
      </c>
      <c r="AN50" s="1">
        <v>0</v>
      </c>
      <c r="AO50" s="1">
        <v>1</v>
      </c>
      <c r="AP50" s="1">
        <v>0</v>
      </c>
      <c r="AQ50" s="1">
        <v>0</v>
      </c>
      <c r="AR50" s="1">
        <v>0</v>
      </c>
      <c r="AS50" s="12">
        <f>IF(AND(AM50=0,AU50&lt;=2), 1, 0)</f>
        <v>0</v>
      </c>
      <c r="AT50" s="12">
        <v>1</v>
      </c>
      <c r="AU50" s="1">
        <v>2</v>
      </c>
      <c r="AV50" s="1">
        <v>0.5</v>
      </c>
      <c r="AW50" s="1"/>
      <c r="AX50" s="6" t="s">
        <v>45</v>
      </c>
      <c r="AY50" s="6" t="s">
        <v>45</v>
      </c>
      <c r="AZ50" s="1">
        <v>0.7</v>
      </c>
      <c r="BA50" s="1">
        <f>2.1+3.6+0.3</f>
        <v>6</v>
      </c>
      <c r="BB50" s="1">
        <v>201</v>
      </c>
      <c r="BC50" s="1">
        <v>2</v>
      </c>
      <c r="BD50" s="1">
        <f>5.1-3.9+0.3</f>
        <v>1.4999999999999998</v>
      </c>
      <c r="BE50" s="1">
        <v>463.9</v>
      </c>
      <c r="BF50" s="6" t="s">
        <v>1320</v>
      </c>
      <c r="BG50" s="1">
        <v>45</v>
      </c>
      <c r="BH50" s="1">
        <v>45</v>
      </c>
      <c r="BI50" s="1">
        <v>0</v>
      </c>
      <c r="BJ50" s="1">
        <v>0</v>
      </c>
      <c r="BK50" s="1">
        <f>BH50+BI50</f>
        <v>45</v>
      </c>
      <c r="BL50" s="1">
        <v>25</v>
      </c>
      <c r="BM50" s="1">
        <v>1.8</v>
      </c>
      <c r="BN50" s="1" t="s">
        <v>110</v>
      </c>
      <c r="BO50" s="1">
        <v>0</v>
      </c>
      <c r="BP50" s="1">
        <v>1</v>
      </c>
      <c r="BQ50" s="1">
        <v>1</v>
      </c>
      <c r="BR50" s="3">
        <v>42271</v>
      </c>
      <c r="BS50" s="1" t="s">
        <v>61</v>
      </c>
      <c r="BT50" s="12" t="s">
        <v>60</v>
      </c>
      <c r="BU50" s="1">
        <v>5</v>
      </c>
      <c r="BV50" s="1">
        <v>1</v>
      </c>
      <c r="BW50" s="1">
        <v>8.4499999999999993</v>
      </c>
      <c r="BX50" s="1">
        <v>0.59299999999999997</v>
      </c>
      <c r="BY50" s="1">
        <v>0.27</v>
      </c>
      <c r="BZ50" s="1">
        <v>15.4</v>
      </c>
      <c r="CA50" s="1">
        <v>242</v>
      </c>
      <c r="CB50" s="1">
        <v>1.85</v>
      </c>
      <c r="CC50" s="1"/>
      <c r="CD50" s="1"/>
      <c r="CE50" s="1">
        <v>1</v>
      </c>
      <c r="CF50" s="3">
        <v>42348</v>
      </c>
      <c r="CG50" s="7">
        <f>CF50-AJ50</f>
        <v>37</v>
      </c>
      <c r="CH50" s="1" t="s">
        <v>1122</v>
      </c>
      <c r="CI50" s="12" t="s">
        <v>183</v>
      </c>
      <c r="CJ50" s="17" t="s">
        <v>182</v>
      </c>
      <c r="CK50" s="1" t="s">
        <v>1110</v>
      </c>
      <c r="CL50" s="1" t="s">
        <v>1109</v>
      </c>
      <c r="CM50" s="1">
        <v>0</v>
      </c>
      <c r="CN50" s="1"/>
      <c r="CO50" s="1" t="s">
        <v>1004</v>
      </c>
      <c r="CP50" s="1"/>
      <c r="CQ50" s="1" t="s">
        <v>1865</v>
      </c>
      <c r="CR50" s="1">
        <v>3.9</v>
      </c>
      <c r="CS50" s="1" t="s">
        <v>1014</v>
      </c>
      <c r="CT50" s="1" t="s">
        <v>473</v>
      </c>
      <c r="CU50" s="1" t="s">
        <v>454</v>
      </c>
      <c r="CV50" s="1">
        <v>0</v>
      </c>
      <c r="CW50" s="1">
        <v>0.7</v>
      </c>
      <c r="CX50" s="1">
        <v>16.3</v>
      </c>
      <c r="CY50" s="1">
        <v>0.02</v>
      </c>
      <c r="CZ50" s="1">
        <v>2</v>
      </c>
      <c r="DA50" s="1">
        <v>16</v>
      </c>
      <c r="DB50" s="2">
        <f>CZ50/DA50*100</f>
        <v>12.5</v>
      </c>
      <c r="DC50" s="1">
        <v>0</v>
      </c>
      <c r="DD50" s="1">
        <v>0</v>
      </c>
      <c r="DE50" s="1">
        <v>0</v>
      </c>
      <c r="DF50" s="1">
        <v>0</v>
      </c>
      <c r="DG50" s="26" t="s">
        <v>1864</v>
      </c>
      <c r="DH50" s="7">
        <v>0</v>
      </c>
      <c r="DI50" s="7">
        <v>1</v>
      </c>
      <c r="DJ50" s="3">
        <v>42681</v>
      </c>
      <c r="DK50" s="1" t="s">
        <v>88</v>
      </c>
      <c r="DL50" s="12">
        <f>(DJ50-I50)/365.25*12</f>
        <v>13.470225872689939</v>
      </c>
      <c r="DM50" s="1">
        <v>1</v>
      </c>
      <c r="DN50" s="1" t="s">
        <v>107</v>
      </c>
      <c r="DO50" s="3">
        <v>42544</v>
      </c>
      <c r="DP50" s="6" t="s">
        <v>1863</v>
      </c>
      <c r="DQ50" s="7">
        <v>1</v>
      </c>
      <c r="DR50" s="3">
        <v>42544</v>
      </c>
      <c r="DS50" s="10">
        <f>IF(DQ50=1, (DR50-$I50)/365.25*12, IF(DQ50=0, $DL50, "ERROR"))</f>
        <v>8.9691991786447645</v>
      </c>
      <c r="DT50" s="7">
        <v>1</v>
      </c>
      <c r="DU50" s="7">
        <v>1</v>
      </c>
      <c r="DV50" s="7">
        <v>1</v>
      </c>
      <c r="DW50" s="16">
        <f>DU50*(1-DV50)</f>
        <v>0</v>
      </c>
      <c r="DX50" s="16">
        <f>(1-DU50)*DV50</f>
        <v>0</v>
      </c>
      <c r="DY50" s="16">
        <f>DU50*DV50</f>
        <v>1</v>
      </c>
      <c r="DZ50" s="3">
        <v>42544</v>
      </c>
      <c r="EA50" s="10">
        <f>IF(DT50=1, (DZ50-$I50)/365.25*12, IF(DT50=0, $DL50, "ERROR"))</f>
        <v>8.9691991786447645</v>
      </c>
      <c r="EB50" s="7">
        <v>1</v>
      </c>
      <c r="EC50" s="7">
        <v>0</v>
      </c>
      <c r="ED50" s="16">
        <f>1-((1-DQ50)*(1-DT50))</f>
        <v>1</v>
      </c>
      <c r="EE50" s="11">
        <f>MIN(DR50,DZ50)</f>
        <v>42544</v>
      </c>
      <c r="EF50" s="1" t="s">
        <v>45</v>
      </c>
      <c r="EG50" s="7" t="s">
        <v>45</v>
      </c>
      <c r="EH50" s="1" t="s">
        <v>45</v>
      </c>
      <c r="EI50" s="1">
        <v>1</v>
      </c>
      <c r="EJ50" s="16">
        <f>(1-DQ50)*DX50*(1-EI50)</f>
        <v>0</v>
      </c>
      <c r="EK50" s="3">
        <v>42544</v>
      </c>
      <c r="EL50" s="10">
        <f>IF(EI50=1, (EK50-$I50)/365.25*12, IF(EI50=0, $DL50, "ERROR"))</f>
        <v>8.9691991786447645</v>
      </c>
      <c r="EM50" s="1" t="s">
        <v>1862</v>
      </c>
      <c r="EN50" s="7">
        <v>1</v>
      </c>
      <c r="EO50" s="7">
        <v>0</v>
      </c>
      <c r="EP50" s="7">
        <v>0</v>
      </c>
      <c r="EQ50" s="7">
        <v>1</v>
      </c>
      <c r="ER50" s="7">
        <v>0</v>
      </c>
      <c r="ES50" s="7">
        <v>1</v>
      </c>
      <c r="ET50" s="7">
        <v>0</v>
      </c>
      <c r="EU50" s="7">
        <v>0</v>
      </c>
      <c r="EV50" s="7">
        <v>0</v>
      </c>
      <c r="EW50" s="1">
        <f>1-((1-EP50)*(1-ET50)*(1-EU50)*(1-EV50))</f>
        <v>0</v>
      </c>
      <c r="EX50" s="7">
        <v>1</v>
      </c>
      <c r="EY50" s="7">
        <v>0</v>
      </c>
      <c r="EZ50" s="7">
        <v>0</v>
      </c>
      <c r="FA50" s="7">
        <v>0</v>
      </c>
      <c r="FB50" s="1" t="s">
        <v>45</v>
      </c>
      <c r="FC50" s="1">
        <v>1</v>
      </c>
      <c r="FD50" s="1">
        <v>1</v>
      </c>
      <c r="FE50" s="1"/>
      <c r="FF50" s="3">
        <v>42705</v>
      </c>
      <c r="FG50" s="3">
        <f>IF(FC50=1, FF50, IF(FD50=1, 44348, DJ50))</f>
        <v>42705</v>
      </c>
      <c r="FH50" s="13">
        <f>(FG50-I50)/365.25*12</f>
        <v>14.258726899383984</v>
      </c>
      <c r="FI50" s="13"/>
      <c r="FJ50" s="14">
        <f>IF(OR(DM50,FC50), 1, 0)</f>
        <v>1</v>
      </c>
      <c r="FK50" s="11">
        <f>IF(DM50=1,IF(FC50=1,MIN(DO50,FF50),DO50),IF(FC50=1,FF50,DJ50))</f>
        <v>42544</v>
      </c>
      <c r="FL50" s="13">
        <f>(FK50-$I50)/365.25*12</f>
        <v>8.9691991786447645</v>
      </c>
      <c r="FM50" s="14">
        <f>IF(OR(ED50,FC50), 1, 0)</f>
        <v>1</v>
      </c>
      <c r="FN50" s="11">
        <f>IF(ED50=1,IF(FC50=1,MIN(EE50,FF50),EE50),IF(FC50=1,FF50,DJ50))</f>
        <v>42544</v>
      </c>
      <c r="FO50" s="13">
        <f>(FN50-$I50)/365.25*12</f>
        <v>8.9691991786447645</v>
      </c>
      <c r="FP50" s="14">
        <f>IF(OR(EI50,FC50), 1, 0)</f>
        <v>1</v>
      </c>
      <c r="FQ50" s="11">
        <f>IF(EI50=1,IF(FC50=1,MIN(EK50,FF50),EK50),IF(FC50=1,FF50,DJ50))</f>
        <v>42544</v>
      </c>
      <c r="FR50" s="13">
        <f>(FQ50-$I50)/365.25*12</f>
        <v>8.9691991786447645</v>
      </c>
      <c r="FS50" s="1"/>
      <c r="FT50" s="1"/>
      <c r="FU50" s="1">
        <v>0</v>
      </c>
      <c r="FV50" s="1">
        <v>0</v>
      </c>
      <c r="FW50" s="1">
        <v>0</v>
      </c>
      <c r="FX50" s="1">
        <v>0</v>
      </c>
      <c r="FY50" s="1"/>
      <c r="FZ50" s="1"/>
    </row>
    <row r="51" spans="1:182" s="17" customFormat="1" ht="12.75" hidden="1" customHeight="1">
      <c r="A51" s="1" t="s">
        <v>1861</v>
      </c>
      <c r="B51" s="15" t="s">
        <v>1847</v>
      </c>
      <c r="C51" s="1">
        <v>43850170</v>
      </c>
      <c r="D51" s="1">
        <v>0</v>
      </c>
      <c r="E51" s="1">
        <v>0</v>
      </c>
      <c r="F51" s="1">
        <v>0</v>
      </c>
      <c r="G51" s="12">
        <v>1</v>
      </c>
      <c r="H51" s="1" t="s">
        <v>1860</v>
      </c>
      <c r="I51" s="3">
        <v>41270</v>
      </c>
      <c r="J51" s="3">
        <v>41241</v>
      </c>
      <c r="K51" s="3">
        <v>15351</v>
      </c>
      <c r="L51" s="5">
        <f>(DAYS360(K51,I51))/365</f>
        <v>69.991780821917814</v>
      </c>
      <c r="M51" s="1" t="s">
        <v>5</v>
      </c>
      <c r="N51" s="1">
        <v>1</v>
      </c>
      <c r="O51" s="1">
        <v>0</v>
      </c>
      <c r="P51" s="1" t="s">
        <v>81</v>
      </c>
      <c r="Q51" s="1">
        <v>2</v>
      </c>
      <c r="R51" s="1" t="s">
        <v>18</v>
      </c>
      <c r="S51" s="1" t="s">
        <v>1859</v>
      </c>
      <c r="T51" s="1" t="s">
        <v>140</v>
      </c>
      <c r="U51" s="1">
        <v>1</v>
      </c>
      <c r="V51" s="1">
        <v>0</v>
      </c>
      <c r="W51" s="1">
        <v>0</v>
      </c>
      <c r="X51" s="1" t="s">
        <v>187</v>
      </c>
      <c r="Y51" s="1">
        <v>3</v>
      </c>
      <c r="Z51" s="1">
        <v>2</v>
      </c>
      <c r="AA51" s="1" t="s">
        <v>116</v>
      </c>
      <c r="AB51" s="1"/>
      <c r="AC51" s="1">
        <v>3</v>
      </c>
      <c r="AD51" s="1" t="s">
        <v>1858</v>
      </c>
      <c r="AE51" s="1" t="s">
        <v>148</v>
      </c>
      <c r="AF51" s="1">
        <v>0</v>
      </c>
      <c r="AG51" s="1">
        <v>0</v>
      </c>
      <c r="AH51" s="1">
        <v>0</v>
      </c>
      <c r="AI51" s="3">
        <v>41270</v>
      </c>
      <c r="AJ51" s="3">
        <v>41309</v>
      </c>
      <c r="AK51" s="6" t="s">
        <v>1857</v>
      </c>
      <c r="AL51" s="6"/>
      <c r="AM51" s="1">
        <v>1</v>
      </c>
      <c r="AN51" s="1">
        <v>0</v>
      </c>
      <c r="AO51" s="1">
        <v>1</v>
      </c>
      <c r="AP51" s="1">
        <v>0</v>
      </c>
      <c r="AQ51" s="1">
        <v>0</v>
      </c>
      <c r="AR51" s="1">
        <v>0</v>
      </c>
      <c r="AS51" s="12">
        <f>IF(AND(AM51=0,AU51&lt;=2), 1, 0)</f>
        <v>0</v>
      </c>
      <c r="AT51" s="12">
        <v>0</v>
      </c>
      <c r="AU51" s="1">
        <v>4</v>
      </c>
      <c r="AV51" s="6" t="s">
        <v>111</v>
      </c>
      <c r="AW51" s="6" t="s">
        <v>49</v>
      </c>
      <c r="AX51" s="1">
        <v>2</v>
      </c>
      <c r="AY51" s="6" t="s">
        <v>111</v>
      </c>
      <c r="AZ51" s="6" t="s">
        <v>111</v>
      </c>
      <c r="BA51" s="1">
        <v>6.5</v>
      </c>
      <c r="BB51" s="1">
        <v>317.10000000000002</v>
      </c>
      <c r="BC51" s="1">
        <v>2.5</v>
      </c>
      <c r="BD51" s="1">
        <v>4</v>
      </c>
      <c r="BE51" s="1">
        <v>662.6</v>
      </c>
      <c r="BF51" s="1"/>
      <c r="BG51" s="1">
        <v>45</v>
      </c>
      <c r="BH51" s="1">
        <v>45</v>
      </c>
      <c r="BI51" s="1">
        <v>3.6</v>
      </c>
      <c r="BJ51" s="1">
        <v>1</v>
      </c>
      <c r="BK51" s="1">
        <f>BH51+BI51</f>
        <v>48.6</v>
      </c>
      <c r="BL51" s="1">
        <v>27</v>
      </c>
      <c r="BM51" s="1">
        <v>1.8</v>
      </c>
      <c r="BN51" s="1" t="s">
        <v>110</v>
      </c>
      <c r="BO51" s="1">
        <v>0</v>
      </c>
      <c r="BP51" s="1">
        <v>0</v>
      </c>
      <c r="BQ51" s="1">
        <v>1</v>
      </c>
      <c r="BR51" s="3">
        <v>41270</v>
      </c>
      <c r="BS51" s="1" t="s">
        <v>109</v>
      </c>
      <c r="BT51" s="12" t="s">
        <v>90</v>
      </c>
      <c r="BU51" s="1">
        <v>2</v>
      </c>
      <c r="BV51" s="1">
        <v>1</v>
      </c>
      <c r="BW51" s="1">
        <v>11.46</v>
      </c>
      <c r="BX51" s="1">
        <v>0.77500000000000002</v>
      </c>
      <c r="BY51" s="1">
        <v>0.153</v>
      </c>
      <c r="BZ51" s="1">
        <v>15</v>
      </c>
      <c r="CA51" s="1">
        <v>283</v>
      </c>
      <c r="CB51" s="1">
        <v>1.66</v>
      </c>
      <c r="CC51" s="1">
        <v>28.1</v>
      </c>
      <c r="CD51" s="1">
        <v>6.74</v>
      </c>
      <c r="CE51" s="1">
        <v>1</v>
      </c>
      <c r="CF51" s="3">
        <v>41404</v>
      </c>
      <c r="CG51" s="7">
        <f>CF51-AJ51</f>
        <v>95</v>
      </c>
      <c r="CH51" s="1" t="s">
        <v>1856</v>
      </c>
      <c r="CI51" s="12" t="s">
        <v>183</v>
      </c>
      <c r="CJ51" s="1" t="s">
        <v>515</v>
      </c>
      <c r="CK51" s="1" t="s">
        <v>859</v>
      </c>
      <c r="CL51" s="1" t="s">
        <v>45</v>
      </c>
      <c r="CM51" s="1">
        <v>0</v>
      </c>
      <c r="CN51" s="1"/>
      <c r="CO51" s="1" t="s">
        <v>662</v>
      </c>
      <c r="CP51" s="1"/>
      <c r="CQ51" s="1" t="s">
        <v>45</v>
      </c>
      <c r="CR51" s="1">
        <v>0</v>
      </c>
      <c r="CS51" s="1" t="s">
        <v>45</v>
      </c>
      <c r="CT51" s="1" t="s">
        <v>45</v>
      </c>
      <c r="CU51" s="1" t="s">
        <v>45</v>
      </c>
      <c r="CV51" s="1">
        <v>0</v>
      </c>
      <c r="CW51" s="1" t="s">
        <v>45</v>
      </c>
      <c r="CX51" s="1" t="s">
        <v>45</v>
      </c>
      <c r="CY51" s="1" t="s">
        <v>45</v>
      </c>
      <c r="CZ51" s="1">
        <v>2</v>
      </c>
      <c r="DA51" s="1">
        <v>47</v>
      </c>
      <c r="DB51" s="2">
        <f>CZ51/DA51*100</f>
        <v>4.2553191489361701</v>
      </c>
      <c r="DC51" s="1">
        <v>0</v>
      </c>
      <c r="DD51" s="1">
        <v>0</v>
      </c>
      <c r="DE51" s="1">
        <v>0</v>
      </c>
      <c r="DF51" s="1" t="s">
        <v>45</v>
      </c>
      <c r="DG51" s="26" t="s">
        <v>1855</v>
      </c>
      <c r="DH51" s="7">
        <v>0</v>
      </c>
      <c r="DI51" s="7">
        <v>0</v>
      </c>
      <c r="DJ51" s="3">
        <v>43187</v>
      </c>
      <c r="DK51" s="1" t="s">
        <v>75</v>
      </c>
      <c r="DL51" s="12">
        <f>(DJ51-I51)/365.25*12</f>
        <v>62.98151950718686</v>
      </c>
      <c r="DM51" s="1">
        <v>0</v>
      </c>
      <c r="DN51" s="1" t="s">
        <v>45</v>
      </c>
      <c r="DO51" s="1" t="s">
        <v>45</v>
      </c>
      <c r="DP51" s="6" t="s">
        <v>45</v>
      </c>
      <c r="DQ51" s="7">
        <v>0</v>
      </c>
      <c r="DR51" s="3" t="s">
        <v>45</v>
      </c>
      <c r="DS51" s="10">
        <f>IF(DQ51=1, (DR51-$I51)/365.25*12, IF(DQ51=0, $DL51, "ERROR"))</f>
        <v>62.98151950718686</v>
      </c>
      <c r="DT51" s="7">
        <v>0</v>
      </c>
      <c r="DU51" s="7">
        <v>0</v>
      </c>
      <c r="DV51" s="7">
        <v>0</v>
      </c>
      <c r="DW51" s="16">
        <f>DU51*(1-DV51)</f>
        <v>0</v>
      </c>
      <c r="DX51" s="16">
        <f>(1-DU51)*DV51</f>
        <v>0</v>
      </c>
      <c r="DY51" s="16">
        <f>DU51*DV51</f>
        <v>0</v>
      </c>
      <c r="DZ51" s="3" t="s">
        <v>45</v>
      </c>
      <c r="EA51" s="10">
        <f>IF(DT51=1, (DZ51-$I51)/365.25*12, IF(DT51=0, $DL51, "ERROR"))</f>
        <v>62.98151950718686</v>
      </c>
      <c r="EB51" s="7">
        <v>0</v>
      </c>
      <c r="EC51" s="7">
        <v>0</v>
      </c>
      <c r="ED51" s="16">
        <f>1-((1-DQ51)*(1-DT51))</f>
        <v>0</v>
      </c>
      <c r="EE51" s="11" t="s">
        <v>45</v>
      </c>
      <c r="EF51" s="1" t="s">
        <v>45</v>
      </c>
      <c r="EG51" s="7" t="s">
        <v>45</v>
      </c>
      <c r="EH51" s="1" t="s">
        <v>45</v>
      </c>
      <c r="EI51" s="1">
        <v>0</v>
      </c>
      <c r="EJ51" s="16">
        <f>(1-DQ51)*DX51*(1-EI51)</f>
        <v>0</v>
      </c>
      <c r="EK51" s="1" t="s">
        <v>45</v>
      </c>
      <c r="EL51" s="10">
        <f>IF(EI51=1, (EK51-$I51)/365.25*12, IF(EI51=0, $DL51, "ERROR"))</f>
        <v>62.98151950718686</v>
      </c>
      <c r="EM51" s="1" t="s">
        <v>45</v>
      </c>
      <c r="EN51" s="1">
        <v>0</v>
      </c>
      <c r="EO51" s="1">
        <v>0</v>
      </c>
      <c r="EP51" s="1">
        <v>0</v>
      </c>
      <c r="EQ51" s="1">
        <v>0</v>
      </c>
      <c r="ER51" s="1">
        <v>0</v>
      </c>
      <c r="ES51" s="1">
        <v>0</v>
      </c>
      <c r="ET51" s="1">
        <v>0</v>
      </c>
      <c r="EU51" s="1">
        <v>0</v>
      </c>
      <c r="EV51" s="1">
        <v>0</v>
      </c>
      <c r="EW51" s="1">
        <f>1-((1-EP51)*(1-ET51)*(1-EU51)*(1-EV51))</f>
        <v>0</v>
      </c>
      <c r="EX51" s="7">
        <v>0</v>
      </c>
      <c r="EY51" s="7">
        <v>0</v>
      </c>
      <c r="EZ51" s="7">
        <v>0</v>
      </c>
      <c r="FA51" s="7">
        <v>0</v>
      </c>
      <c r="FB51" s="1" t="s">
        <v>45</v>
      </c>
      <c r="FC51" s="1">
        <v>0</v>
      </c>
      <c r="FD51" s="1">
        <v>1</v>
      </c>
      <c r="FE51" s="1"/>
      <c r="FF51" s="1" t="s">
        <v>45</v>
      </c>
      <c r="FG51" s="3">
        <f>IF(FC51=1, FF51, IF(FD51=1, 44348, DJ51))</f>
        <v>44348</v>
      </c>
      <c r="FH51" s="13">
        <f>(FG51-I51)/365.25*12</f>
        <v>101.1252566735113</v>
      </c>
      <c r="FI51" s="13"/>
      <c r="FJ51" s="14">
        <f>IF(OR(DM51,FC51), 1, 0)</f>
        <v>0</v>
      </c>
      <c r="FK51" s="11">
        <f>IF(DM51=1,IF(FC51=1,MIN(DO51,FF51),DO51),IF(FC51=1,FF51,DJ51))</f>
        <v>43187</v>
      </c>
      <c r="FL51" s="13">
        <f>(FK51-$I51)/365.25*12</f>
        <v>62.98151950718686</v>
      </c>
      <c r="FM51" s="14">
        <f>IF(OR(ED51,FC51), 1, 0)</f>
        <v>0</v>
      </c>
      <c r="FN51" s="11">
        <f>IF(ED51=1,IF(FC51=1,MIN(EE51,FF51),EE51),IF(FC51=1,FF51,DJ51))</f>
        <v>43187</v>
      </c>
      <c r="FO51" s="13">
        <f>(FN51-$I51)/365.25*12</f>
        <v>62.98151950718686</v>
      </c>
      <c r="FP51" s="14">
        <f>IF(OR(EI51,FC51), 1, 0)</f>
        <v>0</v>
      </c>
      <c r="FQ51" s="11">
        <f>IF(EI51=1,IF(FC51=1,MIN(EK51,FF51),EK51),IF(FC51=1,FF51,DJ51))</f>
        <v>43187</v>
      </c>
      <c r="FR51" s="13">
        <f>(FQ51-$I51)/365.25*12</f>
        <v>62.98151950718686</v>
      </c>
      <c r="FS51" s="1"/>
      <c r="FT51" s="1"/>
      <c r="FU51" s="1"/>
      <c r="FV51" s="1"/>
      <c r="FW51" s="1"/>
      <c r="FX51" s="1"/>
      <c r="FY51" s="1"/>
      <c r="FZ51" s="1"/>
    </row>
    <row r="52" spans="1:182" s="17" customFormat="1" ht="12.75" hidden="1" customHeight="1">
      <c r="A52" s="1" t="s">
        <v>1854</v>
      </c>
      <c r="B52" s="15" t="s">
        <v>1853</v>
      </c>
      <c r="C52" s="1">
        <v>48335056</v>
      </c>
      <c r="D52" s="1">
        <v>0</v>
      </c>
      <c r="E52" s="1">
        <v>0</v>
      </c>
      <c r="F52" s="1">
        <v>0</v>
      </c>
      <c r="G52" s="12">
        <v>1</v>
      </c>
      <c r="H52" s="1"/>
      <c r="I52" s="3">
        <v>42555</v>
      </c>
      <c r="J52" s="3">
        <v>42543</v>
      </c>
      <c r="K52" s="3">
        <v>25930</v>
      </c>
      <c r="L52" s="5">
        <f>(DAYS360(K52,I52))/365</f>
        <v>44.893150684931506</v>
      </c>
      <c r="M52" s="1" t="s">
        <v>5</v>
      </c>
      <c r="N52" s="1">
        <v>1</v>
      </c>
      <c r="O52" s="1">
        <v>0</v>
      </c>
      <c r="P52" s="1" t="s">
        <v>69</v>
      </c>
      <c r="Q52" s="1">
        <v>1</v>
      </c>
      <c r="R52" s="1" t="s">
        <v>18</v>
      </c>
      <c r="S52" s="1">
        <v>30</v>
      </c>
      <c r="T52" s="1" t="s">
        <v>80</v>
      </c>
      <c r="U52" s="1">
        <v>0</v>
      </c>
      <c r="V52" s="1">
        <v>1</v>
      </c>
      <c r="W52" s="1">
        <v>0</v>
      </c>
      <c r="X52" s="1" t="s">
        <v>1852</v>
      </c>
      <c r="Y52" s="1" t="s">
        <v>64</v>
      </c>
      <c r="Z52" s="1">
        <v>1</v>
      </c>
      <c r="AA52" s="1" t="s">
        <v>45</v>
      </c>
      <c r="AB52" s="1"/>
      <c r="AC52" s="1"/>
      <c r="AD52" s="1" t="s">
        <v>773</v>
      </c>
      <c r="AE52" s="1" t="s">
        <v>114</v>
      </c>
      <c r="AF52" s="1">
        <v>0</v>
      </c>
      <c r="AG52" s="1">
        <v>0</v>
      </c>
      <c r="AH52" s="1">
        <v>0</v>
      </c>
      <c r="AI52" s="3">
        <v>42555</v>
      </c>
      <c r="AJ52" s="3">
        <v>42591</v>
      </c>
      <c r="AK52" s="6" t="s">
        <v>1851</v>
      </c>
      <c r="AL52" s="6" t="s">
        <v>123</v>
      </c>
      <c r="AM52" s="1">
        <v>1</v>
      </c>
      <c r="AN52" s="1">
        <v>1</v>
      </c>
      <c r="AO52" s="1">
        <v>0</v>
      </c>
      <c r="AP52" s="1">
        <v>0</v>
      </c>
      <c r="AQ52" s="1">
        <v>0</v>
      </c>
      <c r="AR52" s="1">
        <v>0</v>
      </c>
      <c r="AS52" s="1">
        <v>0</v>
      </c>
      <c r="AT52" s="1">
        <v>0</v>
      </c>
      <c r="AU52" s="6" t="s">
        <v>293</v>
      </c>
      <c r="AV52" s="1">
        <v>2</v>
      </c>
      <c r="AW52" s="1"/>
      <c r="AX52" s="6" t="s">
        <v>45</v>
      </c>
      <c r="AY52" s="6" t="s">
        <v>45</v>
      </c>
      <c r="AZ52" s="1">
        <v>0.7</v>
      </c>
      <c r="BA52" s="1">
        <f>4.2-0.6+0.3</f>
        <v>3.9</v>
      </c>
      <c r="BB52" s="1">
        <v>171.4</v>
      </c>
      <c r="BC52" s="1">
        <f>13.2-4.5+0.3</f>
        <v>9</v>
      </c>
      <c r="BD52" s="1">
        <v>2</v>
      </c>
      <c r="BE52" s="1">
        <v>374.6</v>
      </c>
      <c r="BF52" s="1" t="s">
        <v>123</v>
      </c>
      <c r="BG52" s="1">
        <v>45</v>
      </c>
      <c r="BH52" s="1">
        <v>45</v>
      </c>
      <c r="BI52" s="1">
        <v>0</v>
      </c>
      <c r="BJ52" s="1">
        <v>0</v>
      </c>
      <c r="BK52" s="1">
        <f>BH52+BI52</f>
        <v>45</v>
      </c>
      <c r="BL52" s="1">
        <v>25</v>
      </c>
      <c r="BM52" s="1">
        <v>1.8</v>
      </c>
      <c r="BN52" s="1" t="s">
        <v>110</v>
      </c>
      <c r="BO52" s="1">
        <v>0</v>
      </c>
      <c r="BP52" s="1">
        <v>1</v>
      </c>
      <c r="BQ52" s="1">
        <v>1</v>
      </c>
      <c r="BR52" s="3">
        <v>42555</v>
      </c>
      <c r="BS52" s="1" t="s">
        <v>61</v>
      </c>
      <c r="BT52" s="12" t="s">
        <v>60</v>
      </c>
      <c r="BU52" s="1">
        <v>5</v>
      </c>
      <c r="BV52" s="1">
        <v>1</v>
      </c>
      <c r="BW52" s="1">
        <v>7.8</v>
      </c>
      <c r="BX52" s="1">
        <v>0.55500000000000005</v>
      </c>
      <c r="BY52" s="1">
        <v>0.35499999999999998</v>
      </c>
      <c r="BZ52" s="1">
        <v>15.4</v>
      </c>
      <c r="CA52" s="1">
        <v>306</v>
      </c>
      <c r="CB52" s="1">
        <v>1.59</v>
      </c>
      <c r="CC52" s="1"/>
      <c r="CD52" s="1">
        <v>4.8</v>
      </c>
      <c r="CE52" s="1">
        <v>1</v>
      </c>
      <c r="CF52" s="3">
        <v>42635</v>
      </c>
      <c r="CG52" s="7">
        <f>CF52-AJ52</f>
        <v>44</v>
      </c>
      <c r="CH52" s="1" t="s">
        <v>1026</v>
      </c>
      <c r="CI52" s="12" t="s">
        <v>183</v>
      </c>
      <c r="CJ52" s="17" t="s">
        <v>182</v>
      </c>
      <c r="CK52" s="1" t="s">
        <v>1822</v>
      </c>
      <c r="CL52" s="1" t="s">
        <v>458</v>
      </c>
      <c r="CM52" s="1">
        <v>0</v>
      </c>
      <c r="CN52" s="1"/>
      <c r="CO52" s="1" t="s">
        <v>650</v>
      </c>
      <c r="CP52" s="1"/>
      <c r="CQ52" s="1" t="s">
        <v>1850</v>
      </c>
      <c r="CR52" s="1">
        <v>3.1</v>
      </c>
      <c r="CS52" s="1" t="s">
        <v>1014</v>
      </c>
      <c r="CT52" s="1" t="s">
        <v>455</v>
      </c>
      <c r="CU52" s="1" t="s">
        <v>472</v>
      </c>
      <c r="CV52" s="1">
        <v>0</v>
      </c>
      <c r="CW52" s="1">
        <v>4.0999999999999996</v>
      </c>
      <c r="CX52" s="1">
        <v>14.7</v>
      </c>
      <c r="CY52" s="1">
        <v>0.3</v>
      </c>
      <c r="CZ52" s="1">
        <v>0</v>
      </c>
      <c r="DA52" s="1">
        <v>70</v>
      </c>
      <c r="DB52" s="2">
        <f>CZ52/DA52*100</f>
        <v>0</v>
      </c>
      <c r="DC52" s="1">
        <v>1</v>
      </c>
      <c r="DD52" s="1">
        <v>0</v>
      </c>
      <c r="DE52" s="1">
        <v>0</v>
      </c>
      <c r="DF52" s="1">
        <v>0</v>
      </c>
      <c r="DG52" s="26" t="s">
        <v>1849</v>
      </c>
      <c r="DH52" s="7">
        <v>0</v>
      </c>
      <c r="DI52" s="7">
        <v>0</v>
      </c>
      <c r="DJ52" s="3">
        <v>42942</v>
      </c>
      <c r="DK52" s="1" t="s">
        <v>75</v>
      </c>
      <c r="DL52" s="12">
        <f>(DJ52-I52)/365.25*12</f>
        <v>12.714579055441478</v>
      </c>
      <c r="DM52" s="1">
        <v>0</v>
      </c>
      <c r="DN52" s="1" t="s">
        <v>45</v>
      </c>
      <c r="DO52" s="1" t="s">
        <v>45</v>
      </c>
      <c r="DP52" s="6" t="s">
        <v>45</v>
      </c>
      <c r="DQ52" s="7">
        <v>0</v>
      </c>
      <c r="DR52" s="3" t="s">
        <v>45</v>
      </c>
      <c r="DS52" s="10">
        <f>IF(DQ52=1, (DR52-$I52)/365.25*12, IF(DQ52=0, $DL52, "ERROR"))</f>
        <v>12.714579055441478</v>
      </c>
      <c r="DT52" s="7">
        <v>0</v>
      </c>
      <c r="DU52" s="7">
        <v>0</v>
      </c>
      <c r="DV52" s="7">
        <v>0</v>
      </c>
      <c r="DW52" s="16">
        <f>DU52*(1-DV52)</f>
        <v>0</v>
      </c>
      <c r="DX52" s="16">
        <f>(1-DU52)*DV52</f>
        <v>0</v>
      </c>
      <c r="DY52" s="16">
        <f>DU52*DV52</f>
        <v>0</v>
      </c>
      <c r="DZ52" s="3" t="s">
        <v>45</v>
      </c>
      <c r="EA52" s="10">
        <f>IF(DT52=1, (DZ52-$I52)/365.25*12, IF(DT52=0, $DL52, "ERROR"))</f>
        <v>12.714579055441478</v>
      </c>
      <c r="EB52" s="7">
        <v>0</v>
      </c>
      <c r="EC52" s="7">
        <v>0</v>
      </c>
      <c r="ED52" s="16">
        <f>1-((1-DQ52)*(1-DT52))</f>
        <v>0</v>
      </c>
      <c r="EE52" s="11" t="s">
        <v>45</v>
      </c>
      <c r="EF52" s="1" t="s">
        <v>45</v>
      </c>
      <c r="EG52" s="7" t="s">
        <v>45</v>
      </c>
      <c r="EH52" s="1" t="s">
        <v>45</v>
      </c>
      <c r="EI52" s="1">
        <v>0</v>
      </c>
      <c r="EJ52" s="16">
        <f>(1-DQ52)*DX52*(1-EI52)</f>
        <v>0</v>
      </c>
      <c r="EK52" s="1" t="s">
        <v>45</v>
      </c>
      <c r="EL52" s="10">
        <f>IF(EI52=1, (EK52-$I52)/365.25*12, IF(EI52=0, $DL52, "ERROR"))</f>
        <v>12.714579055441478</v>
      </c>
      <c r="EM52" s="1" t="s">
        <v>45</v>
      </c>
      <c r="EN52" s="1">
        <v>0</v>
      </c>
      <c r="EO52" s="1">
        <v>0</v>
      </c>
      <c r="EP52" s="1">
        <v>0</v>
      </c>
      <c r="EQ52" s="1">
        <v>0</v>
      </c>
      <c r="ER52" s="1">
        <v>0</v>
      </c>
      <c r="ES52" s="1">
        <v>0</v>
      </c>
      <c r="ET52" s="1">
        <v>0</v>
      </c>
      <c r="EU52" s="1">
        <v>0</v>
      </c>
      <c r="EV52" s="1">
        <v>0</v>
      </c>
      <c r="EW52" s="1">
        <f>1-((1-EP52)*(1-ET52)*(1-EU52)*(1-EV52))</f>
        <v>0</v>
      </c>
      <c r="EX52" s="7">
        <v>0</v>
      </c>
      <c r="EY52" s="7">
        <v>0</v>
      </c>
      <c r="EZ52" s="7">
        <v>0</v>
      </c>
      <c r="FA52" s="7">
        <v>0</v>
      </c>
      <c r="FB52" s="1" t="s">
        <v>45</v>
      </c>
      <c r="FC52" s="1">
        <v>1</v>
      </c>
      <c r="FD52" s="1">
        <v>1</v>
      </c>
      <c r="FE52" s="1"/>
      <c r="FF52" s="3">
        <v>44349</v>
      </c>
      <c r="FG52" s="3">
        <f>IF(FC52=1, FF52, IF(FD52=1, 44348, DJ52))</f>
        <v>44349</v>
      </c>
      <c r="FH52" s="13">
        <f>(FG52-I52)/365.25*12</f>
        <v>58.940451745379882</v>
      </c>
      <c r="FI52" s="13"/>
      <c r="FJ52" s="14">
        <f>IF(OR(DM52,FC52), 1, 0)</f>
        <v>1</v>
      </c>
      <c r="FK52" s="11">
        <f>IF(DM52=1,IF(FC52=1,MIN(DO52,FF52),DO52),IF(FC52=1,FF52,DJ52))</f>
        <v>44349</v>
      </c>
      <c r="FL52" s="13">
        <f>(FK52-$I52)/365.25*12</f>
        <v>58.940451745379882</v>
      </c>
      <c r="FM52" s="14">
        <f>IF(OR(ED52,FC52), 1, 0)</f>
        <v>1</v>
      </c>
      <c r="FN52" s="11">
        <f>IF(ED52=1,IF(FC52=1,MIN(EE52,FF52),EE52),IF(FC52=1,FF52,DJ52))</f>
        <v>44349</v>
      </c>
      <c r="FO52" s="13">
        <f>(FN52-$I52)/365.25*12</f>
        <v>58.940451745379882</v>
      </c>
      <c r="FP52" s="14">
        <f>IF(OR(EI52,FC52), 1, 0)</f>
        <v>1</v>
      </c>
      <c r="FQ52" s="11">
        <f>IF(EI52=1,IF(FC52=1,MIN(EK52,FF52),EK52),IF(FC52=1,FF52,DJ52))</f>
        <v>44349</v>
      </c>
      <c r="FR52" s="13">
        <f>(FQ52-$I52)/365.25*12</f>
        <v>58.940451745379882</v>
      </c>
      <c r="FS52" s="1"/>
      <c r="FT52" s="1"/>
      <c r="FU52" s="1">
        <v>0</v>
      </c>
      <c r="FV52" s="1">
        <v>0</v>
      </c>
      <c r="FW52" s="1">
        <v>0</v>
      </c>
      <c r="FX52" s="1">
        <v>0</v>
      </c>
      <c r="FY52" s="1"/>
      <c r="FZ52" s="1"/>
    </row>
    <row r="53" spans="1:182" s="17" customFormat="1" ht="12.75" hidden="1" customHeight="1">
      <c r="A53" s="1" t="s">
        <v>1848</v>
      </c>
      <c r="B53" s="15" t="s">
        <v>1847</v>
      </c>
      <c r="C53" s="1">
        <v>49531547</v>
      </c>
      <c r="D53" s="1">
        <v>0</v>
      </c>
      <c r="E53" s="1">
        <v>0</v>
      </c>
      <c r="F53" s="1">
        <v>0</v>
      </c>
      <c r="G53" s="12">
        <v>1</v>
      </c>
      <c r="H53" s="1"/>
      <c r="I53" s="3">
        <v>42901</v>
      </c>
      <c r="J53" s="3">
        <v>42880</v>
      </c>
      <c r="K53" s="3">
        <v>20411</v>
      </c>
      <c r="L53" s="5">
        <f>(DAYS360(K53,I53))/365</f>
        <v>60.731506849315068</v>
      </c>
      <c r="M53" s="1" t="s">
        <v>5</v>
      </c>
      <c r="N53" s="1">
        <v>0</v>
      </c>
      <c r="O53" s="1">
        <v>0</v>
      </c>
      <c r="P53" s="1" t="s">
        <v>45</v>
      </c>
      <c r="Q53" s="1"/>
      <c r="R53" s="1" t="s">
        <v>18</v>
      </c>
      <c r="S53" s="1" t="s">
        <v>1060</v>
      </c>
      <c r="T53" s="1" t="s">
        <v>140</v>
      </c>
      <c r="U53" s="1">
        <v>1</v>
      </c>
      <c r="V53" s="1">
        <v>0</v>
      </c>
      <c r="W53" s="1">
        <v>0</v>
      </c>
      <c r="X53" s="1" t="s">
        <v>828</v>
      </c>
      <c r="Y53" s="1">
        <v>3</v>
      </c>
      <c r="Z53" s="1">
        <v>0</v>
      </c>
      <c r="AA53" s="1" t="s">
        <v>96</v>
      </c>
      <c r="AB53" s="1"/>
      <c r="AC53" s="1">
        <v>5</v>
      </c>
      <c r="AD53" s="1" t="s">
        <v>1846</v>
      </c>
      <c r="AE53" s="1" t="s">
        <v>1845</v>
      </c>
      <c r="AF53" s="1">
        <v>1</v>
      </c>
      <c r="AG53" s="1">
        <v>1</v>
      </c>
      <c r="AH53" s="1">
        <v>0</v>
      </c>
      <c r="AI53" s="3">
        <v>42901</v>
      </c>
      <c r="AJ53" s="3">
        <v>42936</v>
      </c>
      <c r="AK53" s="6" t="s">
        <v>1844</v>
      </c>
      <c r="AL53" s="6" t="s">
        <v>1043</v>
      </c>
      <c r="AM53" s="1">
        <v>1</v>
      </c>
      <c r="AN53" s="1">
        <v>0</v>
      </c>
      <c r="AO53" s="1">
        <v>1</v>
      </c>
      <c r="AP53" s="1">
        <v>0</v>
      </c>
      <c r="AQ53" s="1">
        <v>0</v>
      </c>
      <c r="AR53" s="1">
        <v>0</v>
      </c>
      <c r="AS53" s="12">
        <f>IF(AND(AM53=0,AU53&lt;=2), 1, 0)</f>
        <v>0</v>
      </c>
      <c r="AT53" s="12">
        <v>1</v>
      </c>
      <c r="AU53" s="1">
        <v>2</v>
      </c>
      <c r="AV53" s="1">
        <v>0.5</v>
      </c>
      <c r="AW53" s="1"/>
      <c r="AX53" s="6" t="s">
        <v>45</v>
      </c>
      <c r="AY53" s="6" t="s">
        <v>45</v>
      </c>
      <c r="AZ53" s="1">
        <v>0.7</v>
      </c>
      <c r="BA53" s="1">
        <v>6</v>
      </c>
      <c r="BB53" s="1">
        <v>229.5</v>
      </c>
      <c r="BC53" s="1"/>
      <c r="BD53" s="1"/>
      <c r="BE53" s="1">
        <v>464.3</v>
      </c>
      <c r="BF53" s="6" t="s">
        <v>1043</v>
      </c>
      <c r="BG53" s="1">
        <v>45</v>
      </c>
      <c r="BH53" s="1">
        <v>45</v>
      </c>
      <c r="BI53" s="1">
        <v>0</v>
      </c>
      <c r="BJ53" s="1">
        <v>0</v>
      </c>
      <c r="BK53" s="1">
        <f>BH53+BI53</f>
        <v>45</v>
      </c>
      <c r="BL53" s="1">
        <v>25</v>
      </c>
      <c r="BM53" s="1">
        <v>1.8</v>
      </c>
      <c r="BN53" s="1" t="s">
        <v>62</v>
      </c>
      <c r="BO53" s="1">
        <v>1</v>
      </c>
      <c r="BP53" s="1">
        <v>1</v>
      </c>
      <c r="BQ53" s="1">
        <v>1</v>
      </c>
      <c r="BR53" s="3">
        <v>42901</v>
      </c>
      <c r="BS53" s="1" t="s">
        <v>61</v>
      </c>
      <c r="BT53" s="12" t="s">
        <v>60</v>
      </c>
      <c r="BU53" s="1">
        <v>5</v>
      </c>
      <c r="BV53" s="1">
        <v>1</v>
      </c>
      <c r="BW53" s="1">
        <v>7.46</v>
      </c>
      <c r="BX53" s="1">
        <v>0.71299999999999997</v>
      </c>
      <c r="BY53" s="1">
        <v>0.188</v>
      </c>
      <c r="BZ53" s="1">
        <v>16.399999999999999</v>
      </c>
      <c r="CA53" s="1">
        <v>217</v>
      </c>
      <c r="CB53" s="1">
        <v>1.65</v>
      </c>
      <c r="CC53" s="1"/>
      <c r="CD53" s="1">
        <v>8.6999999999999993</v>
      </c>
      <c r="CE53" s="1">
        <v>1</v>
      </c>
      <c r="CF53" s="3">
        <v>42976</v>
      </c>
      <c r="CG53" s="7">
        <f>CF53-AJ53</f>
        <v>40</v>
      </c>
      <c r="CH53" s="1" t="s">
        <v>1057</v>
      </c>
      <c r="CI53" s="12" t="s">
        <v>183</v>
      </c>
      <c r="CJ53" s="17" t="s">
        <v>182</v>
      </c>
      <c r="CK53" s="1" t="s">
        <v>835</v>
      </c>
      <c r="CL53" s="1" t="s">
        <v>753</v>
      </c>
      <c r="CM53" s="1">
        <v>0</v>
      </c>
      <c r="CN53" s="1"/>
      <c r="CO53" s="1" t="s">
        <v>650</v>
      </c>
      <c r="CP53" s="1"/>
      <c r="CQ53" s="1" t="s">
        <v>1843</v>
      </c>
      <c r="CR53" s="1">
        <v>3.5</v>
      </c>
      <c r="CS53" s="1" t="s">
        <v>1014</v>
      </c>
      <c r="CT53" s="1" t="s">
        <v>473</v>
      </c>
      <c r="CU53" s="1" t="s">
        <v>794</v>
      </c>
      <c r="CV53" s="1">
        <v>0</v>
      </c>
      <c r="CW53" s="1" t="s">
        <v>45</v>
      </c>
      <c r="CX53" s="1">
        <v>19.600000000000001</v>
      </c>
      <c r="CY53" s="1">
        <v>0.5</v>
      </c>
      <c r="CZ53" s="1">
        <v>1</v>
      </c>
      <c r="DA53" s="1">
        <v>77</v>
      </c>
      <c r="DB53" s="2">
        <f>CZ53/DA53*100</f>
        <v>1.2987012987012987</v>
      </c>
      <c r="DC53" s="1">
        <v>0</v>
      </c>
      <c r="DD53" s="1">
        <v>0</v>
      </c>
      <c r="DE53" s="1">
        <v>0</v>
      </c>
      <c r="DF53" s="1">
        <v>0</v>
      </c>
      <c r="DG53" s="26" t="s">
        <v>1842</v>
      </c>
      <c r="DH53" s="7">
        <v>0</v>
      </c>
      <c r="DI53" s="7">
        <v>0</v>
      </c>
      <c r="DJ53" s="3">
        <v>44341</v>
      </c>
      <c r="DK53" s="1" t="s">
        <v>132</v>
      </c>
      <c r="DL53" s="12">
        <f>(DJ53-I53)/365.25*12</f>
        <v>47.310061601642708</v>
      </c>
      <c r="DM53" s="1">
        <v>1</v>
      </c>
      <c r="DN53" s="1" t="s">
        <v>1841</v>
      </c>
      <c r="DO53" s="3">
        <v>44064</v>
      </c>
      <c r="DP53" s="6" t="s">
        <v>133</v>
      </c>
      <c r="DQ53" s="7">
        <v>0</v>
      </c>
      <c r="DR53" s="3" t="s">
        <v>45</v>
      </c>
      <c r="DS53" s="10">
        <f>IF(DQ53=1, (DR53-$I53)/365.25*12, IF(DQ53=0, $DL53, "ERROR"))</f>
        <v>47.310061601642708</v>
      </c>
      <c r="DT53" s="7">
        <v>0</v>
      </c>
      <c r="DU53" s="7">
        <v>0</v>
      </c>
      <c r="DV53" s="7">
        <v>0</v>
      </c>
      <c r="DW53" s="16">
        <f>DU53*(1-DV53)</f>
        <v>0</v>
      </c>
      <c r="DX53" s="16">
        <f>(1-DU53)*DV53</f>
        <v>0</v>
      </c>
      <c r="DY53" s="16">
        <f>DU53*DV53</f>
        <v>0</v>
      </c>
      <c r="DZ53" s="3" t="s">
        <v>45</v>
      </c>
      <c r="EA53" s="10">
        <f>IF(DT53=1, (DZ53-$I53)/365.25*12, IF(DT53=0, $DL53, "ERROR"))</f>
        <v>47.310061601642708</v>
      </c>
      <c r="EB53" s="7">
        <v>0</v>
      </c>
      <c r="EC53" s="7">
        <v>0</v>
      </c>
      <c r="ED53" s="16">
        <f>1-((1-DQ53)*(1-DT53))</f>
        <v>0</v>
      </c>
      <c r="EE53" s="11" t="s">
        <v>45</v>
      </c>
      <c r="EF53" s="1" t="s">
        <v>132</v>
      </c>
      <c r="EG53" s="7">
        <v>1</v>
      </c>
      <c r="EH53" s="1" t="s">
        <v>1177</v>
      </c>
      <c r="EI53" s="1">
        <v>1</v>
      </c>
      <c r="EJ53" s="16">
        <f>(1-DQ53)*DX53*(1-EI53)</f>
        <v>0</v>
      </c>
      <c r="EK53" s="3">
        <v>44064</v>
      </c>
      <c r="EL53" s="10">
        <f>IF(EI53=1, (EK53-$I53)/365.25*12, IF(EI53=0, $DL53, "ERROR"))</f>
        <v>38.209445585215605</v>
      </c>
      <c r="EM53" s="1" t="s">
        <v>1840</v>
      </c>
      <c r="EN53" s="7">
        <v>1</v>
      </c>
      <c r="EO53" s="7">
        <v>0</v>
      </c>
      <c r="EP53" s="7">
        <v>0</v>
      </c>
      <c r="EQ53" s="7">
        <v>1</v>
      </c>
      <c r="ER53" s="7">
        <v>1</v>
      </c>
      <c r="ES53" s="7">
        <v>0</v>
      </c>
      <c r="ET53" s="7">
        <v>0</v>
      </c>
      <c r="EU53" s="7">
        <v>1</v>
      </c>
      <c r="EV53" s="7">
        <v>0</v>
      </c>
      <c r="EW53" s="1">
        <f>1-((1-EP53)*(1-ET53)*(1-EU53)*(1-EV53))</f>
        <v>1</v>
      </c>
      <c r="EX53" s="7">
        <v>0</v>
      </c>
      <c r="EY53" s="7">
        <v>0</v>
      </c>
      <c r="EZ53" s="7">
        <v>0</v>
      </c>
      <c r="FA53" s="7">
        <v>0</v>
      </c>
      <c r="FB53" s="1"/>
      <c r="FC53" s="1">
        <v>0</v>
      </c>
      <c r="FD53" s="1">
        <v>1</v>
      </c>
      <c r="FE53" s="1"/>
      <c r="FF53" s="1" t="s">
        <v>45</v>
      </c>
      <c r="FG53" s="3">
        <f>IF(FC53=1, FF53, IF(FD53=1, 44348, DJ53))</f>
        <v>44348</v>
      </c>
      <c r="FH53" s="13">
        <f>(FG53-I53)/365.25*12</f>
        <v>47.540041067761805</v>
      </c>
      <c r="FI53" s="13"/>
      <c r="FJ53" s="14">
        <f>IF(OR(DM53,FC53), 1, 0)</f>
        <v>1</v>
      </c>
      <c r="FK53" s="11">
        <f>IF(DM53=1,IF(FC53=1,MIN(DO53,FF53),DO53),IF(FC53=1,FF53,DJ53))</f>
        <v>44064</v>
      </c>
      <c r="FL53" s="13">
        <f>(FK53-$I53)/365.25*12</f>
        <v>38.209445585215605</v>
      </c>
      <c r="FM53" s="14">
        <f>IF(OR(ED53,FC53), 1, 0)</f>
        <v>0</v>
      </c>
      <c r="FN53" s="11">
        <f>IF(ED53=1,IF(FC53=1,MIN(EE53,FF53),EE53),IF(FC53=1,FF53,DJ53))</f>
        <v>44341</v>
      </c>
      <c r="FO53" s="13">
        <f>(FN53-$I53)/365.25*12</f>
        <v>47.310061601642708</v>
      </c>
      <c r="FP53" s="14">
        <f>IF(OR(EI53,FC53), 1, 0)</f>
        <v>1</v>
      </c>
      <c r="FQ53" s="11">
        <f>IF(EI53=1,IF(FC53=1,MIN(EK53,FF53),EK53),IF(FC53=1,FF53,DJ53))</f>
        <v>44064</v>
      </c>
      <c r="FR53" s="13">
        <f>(FQ53-$I53)/365.25*12</f>
        <v>38.209445585215605</v>
      </c>
      <c r="FS53" s="1"/>
      <c r="FT53" s="1"/>
      <c r="FU53" s="1">
        <v>1</v>
      </c>
      <c r="FV53" s="1">
        <v>0</v>
      </c>
      <c r="FW53" s="1">
        <v>0</v>
      </c>
      <c r="FX53" s="1">
        <v>0</v>
      </c>
      <c r="FY53" s="1"/>
      <c r="FZ53" s="1"/>
    </row>
    <row r="54" spans="1:182" s="17" customFormat="1" ht="12.75" hidden="1" customHeight="1">
      <c r="A54" s="1" t="s">
        <v>1839</v>
      </c>
      <c r="B54" s="15" t="s">
        <v>1838</v>
      </c>
      <c r="C54" s="1">
        <v>20991179</v>
      </c>
      <c r="D54" s="1">
        <v>0</v>
      </c>
      <c r="E54" s="1">
        <v>0</v>
      </c>
      <c r="F54" s="1">
        <v>0</v>
      </c>
      <c r="G54" s="12">
        <v>1</v>
      </c>
      <c r="H54" s="1"/>
      <c r="I54" s="3">
        <v>42236</v>
      </c>
      <c r="J54" s="3">
        <v>42580</v>
      </c>
      <c r="K54" s="3">
        <v>17605</v>
      </c>
      <c r="L54" s="5">
        <f>(DAYS360(K54,I54))/365</f>
        <v>66.512328767123293</v>
      </c>
      <c r="M54" s="1" t="s">
        <v>5</v>
      </c>
      <c r="N54" s="1">
        <v>1</v>
      </c>
      <c r="O54" s="1">
        <v>0</v>
      </c>
      <c r="P54" s="1" t="s">
        <v>81</v>
      </c>
      <c r="Q54" s="1">
        <v>2</v>
      </c>
      <c r="R54" s="1" t="s">
        <v>18</v>
      </c>
      <c r="S54" s="1" t="s">
        <v>1837</v>
      </c>
      <c r="T54" s="1" t="s">
        <v>80</v>
      </c>
      <c r="U54" s="1">
        <v>0</v>
      </c>
      <c r="V54" s="1">
        <v>1</v>
      </c>
      <c r="W54" s="1">
        <v>0</v>
      </c>
      <c r="X54" s="1" t="s">
        <v>1351</v>
      </c>
      <c r="Y54" s="1">
        <v>3</v>
      </c>
      <c r="Z54" s="1">
        <v>2</v>
      </c>
      <c r="AA54" s="1" t="s">
        <v>96</v>
      </c>
      <c r="AB54" s="1"/>
      <c r="AC54" s="1">
        <v>5</v>
      </c>
      <c r="AD54" s="1" t="s">
        <v>1836</v>
      </c>
      <c r="AE54" s="1" t="s">
        <v>1835</v>
      </c>
      <c r="AF54" s="1">
        <v>1</v>
      </c>
      <c r="AG54" s="1">
        <v>1</v>
      </c>
      <c r="AH54" s="1">
        <v>1</v>
      </c>
      <c r="AI54" s="3">
        <v>42236</v>
      </c>
      <c r="AJ54" s="3">
        <v>42270</v>
      </c>
      <c r="AK54" s="6" t="s">
        <v>1834</v>
      </c>
      <c r="AL54" s="6"/>
      <c r="AM54" s="1">
        <v>1</v>
      </c>
      <c r="AN54" s="1">
        <v>1</v>
      </c>
      <c r="AO54" s="1">
        <v>1</v>
      </c>
      <c r="AP54" s="1">
        <v>0</v>
      </c>
      <c r="AQ54" s="1">
        <v>0</v>
      </c>
      <c r="AR54" s="1">
        <v>0</v>
      </c>
      <c r="AS54" s="12">
        <f>IF(AND(AM54=0,AU54&lt;=2), 1, 0)</f>
        <v>0</v>
      </c>
      <c r="AT54" s="12">
        <v>0</v>
      </c>
      <c r="AU54" s="1">
        <v>2</v>
      </c>
      <c r="AV54" s="1">
        <v>0.5</v>
      </c>
      <c r="AW54" s="1"/>
      <c r="AX54" s="6" t="s">
        <v>45</v>
      </c>
      <c r="AY54" s="6" t="s">
        <v>45</v>
      </c>
      <c r="AZ54" s="1">
        <v>0.5</v>
      </c>
      <c r="BA54" s="1">
        <v>8.4</v>
      </c>
      <c r="BB54" s="1">
        <v>339.6</v>
      </c>
      <c r="BC54" s="1">
        <f>8.1-3.3+0.3</f>
        <v>5.0999999999999996</v>
      </c>
      <c r="BD54" s="1">
        <f>7.5-5.4+0.3</f>
        <v>2.3999999999999995</v>
      </c>
      <c r="BE54" s="1">
        <v>615</v>
      </c>
      <c r="BF54" s="1"/>
      <c r="BG54" s="1">
        <v>45</v>
      </c>
      <c r="BH54" s="1">
        <v>45</v>
      </c>
      <c r="BI54" s="1">
        <v>0</v>
      </c>
      <c r="BJ54" s="1">
        <v>0</v>
      </c>
      <c r="BK54" s="1">
        <f>BH54+BI54</f>
        <v>45</v>
      </c>
      <c r="BL54" s="1">
        <v>25</v>
      </c>
      <c r="BM54" s="1">
        <v>1.8</v>
      </c>
      <c r="BN54" s="1" t="s">
        <v>110</v>
      </c>
      <c r="BO54" s="1">
        <v>0</v>
      </c>
      <c r="BP54" s="1">
        <v>1</v>
      </c>
      <c r="BQ54" s="1">
        <v>1</v>
      </c>
      <c r="BR54" s="3">
        <v>42236</v>
      </c>
      <c r="BS54" s="1" t="s">
        <v>61</v>
      </c>
      <c r="BT54" s="12" t="s">
        <v>60</v>
      </c>
      <c r="BU54" s="1">
        <v>4</v>
      </c>
      <c r="BV54" s="1">
        <v>0</v>
      </c>
      <c r="BW54" s="1">
        <v>6.3</v>
      </c>
      <c r="BX54" s="1">
        <v>0.44400000000000001</v>
      </c>
      <c r="BY54" s="1">
        <v>0.40400000000000003</v>
      </c>
      <c r="BZ54" s="1">
        <v>13.7</v>
      </c>
      <c r="CA54" s="1">
        <v>280</v>
      </c>
      <c r="CB54" s="1">
        <v>1.48</v>
      </c>
      <c r="CC54" s="1">
        <v>14.5</v>
      </c>
      <c r="CD54" s="1">
        <v>4.4000000000000004</v>
      </c>
      <c r="CE54" s="1">
        <v>1</v>
      </c>
      <c r="CF54" s="3">
        <v>42313</v>
      </c>
      <c r="CG54" s="7">
        <f>CF54-AJ54</f>
        <v>43</v>
      </c>
      <c r="CH54" s="1" t="s">
        <v>1833</v>
      </c>
      <c r="CI54" s="12" t="s">
        <v>183</v>
      </c>
      <c r="CJ54" s="1" t="s">
        <v>182</v>
      </c>
      <c r="CK54" s="1" t="s">
        <v>181</v>
      </c>
      <c r="CL54" s="1" t="s">
        <v>1109</v>
      </c>
      <c r="CM54" s="1">
        <v>0</v>
      </c>
      <c r="CN54" s="1"/>
      <c r="CO54" s="1" t="s">
        <v>1004</v>
      </c>
      <c r="CP54" s="1"/>
      <c r="CQ54" s="1" t="s">
        <v>1832</v>
      </c>
      <c r="CR54" s="1">
        <v>2.9</v>
      </c>
      <c r="CS54" s="1" t="s">
        <v>1002</v>
      </c>
      <c r="CT54" s="1" t="s">
        <v>455</v>
      </c>
      <c r="CU54" s="1" t="s">
        <v>454</v>
      </c>
      <c r="CV54" s="1">
        <v>1</v>
      </c>
      <c r="CW54" s="1">
        <v>3.9</v>
      </c>
      <c r="CX54" s="1">
        <v>11.7</v>
      </c>
      <c r="CY54" s="1">
        <v>0</v>
      </c>
      <c r="CZ54" s="1">
        <v>3</v>
      </c>
      <c r="DA54" s="1">
        <v>52</v>
      </c>
      <c r="DB54" s="2">
        <f>CZ54/DA54*100</f>
        <v>5.7692307692307692</v>
      </c>
      <c r="DC54" s="1">
        <v>0</v>
      </c>
      <c r="DD54" s="1">
        <v>0</v>
      </c>
      <c r="DE54" s="1">
        <v>0</v>
      </c>
      <c r="DF54" s="1" t="s">
        <v>45</v>
      </c>
      <c r="DG54" s="26" t="s">
        <v>1831</v>
      </c>
      <c r="DH54" s="7">
        <v>1</v>
      </c>
      <c r="DI54" s="7">
        <v>1</v>
      </c>
      <c r="DJ54" s="3">
        <v>43104</v>
      </c>
      <c r="DK54" s="1" t="s">
        <v>88</v>
      </c>
      <c r="DL54" s="12">
        <f>(DJ54-I54)/365.25*12</f>
        <v>28.517453798767967</v>
      </c>
      <c r="DM54" s="1">
        <v>1</v>
      </c>
      <c r="DN54" s="1" t="s">
        <v>1830</v>
      </c>
      <c r="DO54" s="3">
        <v>42824</v>
      </c>
      <c r="DP54" s="6" t="s">
        <v>133</v>
      </c>
      <c r="DQ54" s="7">
        <v>0</v>
      </c>
      <c r="DR54" s="3" t="s">
        <v>45</v>
      </c>
      <c r="DS54" s="10">
        <f>IF(DQ54=1, (DR54-$I54)/365.25*12, IF(DQ54=0, $DL54, "ERROR"))</f>
        <v>28.517453798767967</v>
      </c>
      <c r="DT54" s="7">
        <v>1</v>
      </c>
      <c r="DU54" s="7">
        <v>1</v>
      </c>
      <c r="DV54" s="7">
        <v>0</v>
      </c>
      <c r="DW54" s="16">
        <f>DU54*(1-DV54)</f>
        <v>1</v>
      </c>
      <c r="DX54" s="16">
        <f>(1-DU54)*DV54</f>
        <v>0</v>
      </c>
      <c r="DY54" s="16">
        <f>DU54*DV54</f>
        <v>0</v>
      </c>
      <c r="DZ54" s="3">
        <v>42982</v>
      </c>
      <c r="EA54" s="10">
        <f>IF(DT54=1, (DZ54-$I54)/365.25*12, IF(DT54=0, $DL54, "ERROR"))</f>
        <v>24.50924024640657</v>
      </c>
      <c r="EB54" s="7">
        <v>1</v>
      </c>
      <c r="EC54" s="7">
        <v>0</v>
      </c>
      <c r="ED54" s="16">
        <f>1-((1-DQ54)*(1-DT54))</f>
        <v>1</v>
      </c>
      <c r="EE54" s="11">
        <f>MIN(DR54,DZ54)</f>
        <v>42982</v>
      </c>
      <c r="EF54" s="1" t="s">
        <v>1829</v>
      </c>
      <c r="EG54" s="7">
        <v>1</v>
      </c>
      <c r="EH54" s="1" t="s">
        <v>45</v>
      </c>
      <c r="EI54" s="1">
        <v>1</v>
      </c>
      <c r="EJ54" s="16">
        <f>(1-DQ54)*DX54*(1-EI54)</f>
        <v>0</v>
      </c>
      <c r="EK54" s="3">
        <v>42831</v>
      </c>
      <c r="EL54" s="10">
        <f>IF(EI54=1, (EK54-$I54)/365.25*12, IF(EI54=0, $DL54, "ERROR"))</f>
        <v>19.548254620123203</v>
      </c>
      <c r="EM54" s="1" t="s">
        <v>1828</v>
      </c>
      <c r="EN54" s="7">
        <v>1</v>
      </c>
      <c r="EO54" s="7">
        <v>0</v>
      </c>
      <c r="EP54" s="7">
        <v>0</v>
      </c>
      <c r="EQ54" s="7">
        <v>0</v>
      </c>
      <c r="ER54" s="7">
        <v>1</v>
      </c>
      <c r="ES54" s="7">
        <v>1</v>
      </c>
      <c r="ET54" s="7">
        <v>0</v>
      </c>
      <c r="EU54" s="7">
        <v>0</v>
      </c>
      <c r="EV54" s="7">
        <v>0</v>
      </c>
      <c r="EW54" s="1">
        <f>1-((1-EP54)*(1-ET54)*(1-EU54)*(1-EV54))</f>
        <v>0</v>
      </c>
      <c r="EX54" s="7">
        <v>1</v>
      </c>
      <c r="EY54" s="7">
        <v>1</v>
      </c>
      <c r="EZ54" s="7">
        <v>0</v>
      </c>
      <c r="FA54" s="7">
        <v>1</v>
      </c>
      <c r="FB54" s="1" t="s">
        <v>45</v>
      </c>
      <c r="FC54" s="1">
        <v>1</v>
      </c>
      <c r="FD54" s="1">
        <v>1</v>
      </c>
      <c r="FE54" s="1"/>
      <c r="FF54" s="3">
        <v>43182</v>
      </c>
      <c r="FG54" s="3">
        <f>IF(FC54=1, FF54, IF(FD54=1, 44348, DJ54))</f>
        <v>43182</v>
      </c>
      <c r="FH54" s="13">
        <f>(FG54-I54)/365.25*12</f>
        <v>31.080082135523611</v>
      </c>
      <c r="FI54" s="13"/>
      <c r="FJ54" s="14">
        <f>IF(OR(DM54,FC54), 1, 0)</f>
        <v>1</v>
      </c>
      <c r="FK54" s="11">
        <f>IF(DM54=1,IF(FC54=1,MIN(DO54,FF54),DO54),IF(FC54=1,FF54,DJ54))</f>
        <v>42824</v>
      </c>
      <c r="FL54" s="13">
        <f>(FK54-$I54)/365.25*12</f>
        <v>19.318275154004109</v>
      </c>
      <c r="FM54" s="14">
        <f>IF(OR(ED54,FC54), 1, 0)</f>
        <v>1</v>
      </c>
      <c r="FN54" s="11">
        <f>IF(ED54=1,IF(FC54=1,MIN(EE54,FF54),EE54),IF(FC54=1,FF54,DJ54))</f>
        <v>42982</v>
      </c>
      <c r="FO54" s="13">
        <f>(FN54-$I54)/365.25*12</f>
        <v>24.50924024640657</v>
      </c>
      <c r="FP54" s="14">
        <f>IF(OR(EI54,FC54), 1, 0)</f>
        <v>1</v>
      </c>
      <c r="FQ54" s="11">
        <f>IF(EI54=1,IF(FC54=1,MIN(EK54,FF54),EK54),IF(FC54=1,FF54,DJ54))</f>
        <v>42831</v>
      </c>
      <c r="FR54" s="13">
        <f>(FQ54-$I54)/365.25*12</f>
        <v>19.548254620123203</v>
      </c>
      <c r="FS54" s="1"/>
      <c r="FT54" s="1"/>
      <c r="FU54" s="1">
        <v>0</v>
      </c>
      <c r="FV54" s="1">
        <v>0</v>
      </c>
      <c r="FW54" s="1">
        <v>0</v>
      </c>
      <c r="FX54" s="1">
        <v>1</v>
      </c>
      <c r="FY54" s="1"/>
      <c r="FZ54" s="1"/>
    </row>
    <row r="55" spans="1:182" s="17" customFormat="1" ht="12.75" hidden="1" customHeight="1">
      <c r="A55" s="1" t="s">
        <v>1827</v>
      </c>
      <c r="B55" s="15" t="s">
        <v>1826</v>
      </c>
      <c r="C55" s="1">
        <v>25419432</v>
      </c>
      <c r="D55" s="1">
        <v>0</v>
      </c>
      <c r="E55" s="1">
        <v>0</v>
      </c>
      <c r="F55" s="1">
        <v>0</v>
      </c>
      <c r="G55" s="12">
        <v>1</v>
      </c>
      <c r="H55" s="1"/>
      <c r="I55" s="3">
        <v>42229</v>
      </c>
      <c r="J55" s="3">
        <v>42215</v>
      </c>
      <c r="K55" s="3">
        <v>29203</v>
      </c>
      <c r="L55" s="5">
        <f>(DAYS360(K55,I55))/365</f>
        <v>35.175342465753424</v>
      </c>
      <c r="M55" s="1" t="s">
        <v>5</v>
      </c>
      <c r="N55" s="1">
        <v>1</v>
      </c>
      <c r="O55" s="1">
        <v>0</v>
      </c>
      <c r="P55" s="1" t="s">
        <v>69</v>
      </c>
      <c r="Q55" s="1">
        <v>1</v>
      </c>
      <c r="R55" s="1" t="s">
        <v>18</v>
      </c>
      <c r="S55" s="1" t="s">
        <v>1825</v>
      </c>
      <c r="T55" s="1" t="s">
        <v>140</v>
      </c>
      <c r="U55" s="1">
        <v>1</v>
      </c>
      <c r="V55" s="1">
        <v>0</v>
      </c>
      <c r="W55" s="1">
        <v>0</v>
      </c>
      <c r="X55" s="1" t="s">
        <v>117</v>
      </c>
      <c r="Y55" s="1">
        <v>3</v>
      </c>
      <c r="Z55" s="1">
        <v>1</v>
      </c>
      <c r="AA55" s="1" t="s">
        <v>116</v>
      </c>
      <c r="AB55" s="1"/>
      <c r="AC55" s="1">
        <v>3</v>
      </c>
      <c r="AD55" s="1" t="s">
        <v>1824</v>
      </c>
      <c r="AE55" s="1" t="s">
        <v>114</v>
      </c>
      <c r="AF55" s="1">
        <v>0</v>
      </c>
      <c r="AG55" s="1">
        <v>0</v>
      </c>
      <c r="AH55" s="1">
        <v>0</v>
      </c>
      <c r="AI55" s="3">
        <v>42229</v>
      </c>
      <c r="AJ55" s="3">
        <v>42263</v>
      </c>
      <c r="AK55" s="6" t="s">
        <v>1389</v>
      </c>
      <c r="AL55" s="6"/>
      <c r="AM55" s="1">
        <v>1</v>
      </c>
      <c r="AN55" s="1">
        <v>1</v>
      </c>
      <c r="AO55" s="1">
        <v>1</v>
      </c>
      <c r="AP55" s="1">
        <v>0</v>
      </c>
      <c r="AQ55" s="1">
        <v>0</v>
      </c>
      <c r="AR55" s="1">
        <v>0</v>
      </c>
      <c r="AS55" s="12">
        <f>IF(AND(AM55=0,AU55&lt;=2), 1, 0)</f>
        <v>0</v>
      </c>
      <c r="AT55" s="12">
        <v>0</v>
      </c>
      <c r="AU55" s="1">
        <v>2</v>
      </c>
      <c r="AV55" s="1">
        <v>0.5</v>
      </c>
      <c r="AW55" s="1"/>
      <c r="AX55" s="6" t="s">
        <v>45</v>
      </c>
      <c r="AY55" s="6" t="s">
        <v>45</v>
      </c>
      <c r="AZ55" s="1">
        <v>0.7</v>
      </c>
      <c r="BA55" s="1">
        <v>6.3</v>
      </c>
      <c r="BB55" s="1">
        <v>175.9</v>
      </c>
      <c r="BC55" s="1">
        <v>2</v>
      </c>
      <c r="BD55" s="1">
        <v>4.8</v>
      </c>
      <c r="BE55" s="1">
        <v>395.4</v>
      </c>
      <c r="BF55" s="1"/>
      <c r="BG55" s="1">
        <v>45</v>
      </c>
      <c r="BH55" s="1">
        <v>45</v>
      </c>
      <c r="BI55" s="1">
        <v>0</v>
      </c>
      <c r="BJ55" s="1">
        <v>0</v>
      </c>
      <c r="BK55" s="1">
        <f>BH55+BI55</f>
        <v>45</v>
      </c>
      <c r="BL55" s="1">
        <v>25</v>
      </c>
      <c r="BM55" s="1">
        <v>1.8</v>
      </c>
      <c r="BN55" s="1" t="s">
        <v>110</v>
      </c>
      <c r="BO55" s="1">
        <v>0</v>
      </c>
      <c r="BP55" s="1">
        <v>1</v>
      </c>
      <c r="BQ55" s="1">
        <v>1</v>
      </c>
      <c r="BR55" s="3">
        <v>42228</v>
      </c>
      <c r="BS55" s="1" t="s">
        <v>61</v>
      </c>
      <c r="BT55" s="12" t="s">
        <v>60</v>
      </c>
      <c r="BU55" s="1">
        <v>5</v>
      </c>
      <c r="BV55" s="1">
        <v>1</v>
      </c>
      <c r="BW55" s="1">
        <v>9.76</v>
      </c>
      <c r="BX55" s="1">
        <v>0.76800000000000002</v>
      </c>
      <c r="BY55" s="1">
        <v>0.11700000000000001</v>
      </c>
      <c r="BZ55" s="1">
        <v>8.3000000000000007</v>
      </c>
      <c r="CA55" s="1">
        <v>269</v>
      </c>
      <c r="CB55" s="1">
        <v>1.41</v>
      </c>
      <c r="CC55" s="1">
        <v>17.399999999999999</v>
      </c>
      <c r="CD55" s="1">
        <v>7.9</v>
      </c>
      <c r="CE55" s="1">
        <v>1</v>
      </c>
      <c r="CF55" s="3">
        <v>42306</v>
      </c>
      <c r="CG55" s="7">
        <f>CF55-AJ55</f>
        <v>43</v>
      </c>
      <c r="CH55" s="1" t="s">
        <v>1823</v>
      </c>
      <c r="CI55" s="12" t="s">
        <v>183</v>
      </c>
      <c r="CJ55" s="1" t="s">
        <v>182</v>
      </c>
      <c r="CK55" s="1" t="s">
        <v>1822</v>
      </c>
      <c r="CL55" s="1" t="s">
        <v>458</v>
      </c>
      <c r="CM55" s="1">
        <v>0</v>
      </c>
      <c r="CN55" s="1"/>
      <c r="CO55" s="1" t="s">
        <v>1004</v>
      </c>
      <c r="CP55" s="1"/>
      <c r="CQ55" s="1" t="s">
        <v>1821</v>
      </c>
      <c r="CR55" s="1">
        <v>1.6</v>
      </c>
      <c r="CS55" s="1" t="s">
        <v>1014</v>
      </c>
      <c r="CT55" s="1" t="s">
        <v>473</v>
      </c>
      <c r="CU55" s="1" t="s">
        <v>1820</v>
      </c>
      <c r="CV55" s="1">
        <v>0</v>
      </c>
      <c r="CW55" s="1">
        <v>0.6</v>
      </c>
      <c r="CX55" s="1">
        <v>21.2</v>
      </c>
      <c r="CY55" s="1">
        <v>0.3</v>
      </c>
      <c r="CZ55" s="1">
        <v>0</v>
      </c>
      <c r="DA55" s="1">
        <v>34</v>
      </c>
      <c r="DB55" s="2">
        <f>CZ55/DA55*100</f>
        <v>0</v>
      </c>
      <c r="DC55" s="1">
        <v>0</v>
      </c>
      <c r="DD55" s="1">
        <v>0</v>
      </c>
      <c r="DE55" s="1">
        <v>0</v>
      </c>
      <c r="DF55" s="1">
        <v>0</v>
      </c>
      <c r="DG55" s="26" t="s">
        <v>1819</v>
      </c>
      <c r="DH55" s="7">
        <v>0</v>
      </c>
      <c r="DI55" s="7">
        <v>0</v>
      </c>
      <c r="DJ55" s="3">
        <v>44160</v>
      </c>
      <c r="DK55" s="1" t="s">
        <v>75</v>
      </c>
      <c r="DL55" s="1">
        <f>(DJ55-I55)/365.25*12</f>
        <v>63.441478439425055</v>
      </c>
      <c r="DM55" s="1">
        <v>0</v>
      </c>
      <c r="DN55" s="1" t="s">
        <v>45</v>
      </c>
      <c r="DO55" s="1" t="s">
        <v>45</v>
      </c>
      <c r="DP55" s="6" t="s">
        <v>45</v>
      </c>
      <c r="DQ55" s="7">
        <v>0</v>
      </c>
      <c r="DR55" s="3" t="s">
        <v>45</v>
      </c>
      <c r="DS55" s="10">
        <f>IF(DQ55=1, (DR55-$I55)/365.25*12, IF(DQ55=0, $DL55, "ERROR"))</f>
        <v>63.441478439425055</v>
      </c>
      <c r="DT55" s="7">
        <v>0</v>
      </c>
      <c r="DU55" s="7">
        <v>0</v>
      </c>
      <c r="DV55" s="7">
        <v>0</v>
      </c>
      <c r="DW55" s="16">
        <f>DU55*(1-DV55)</f>
        <v>0</v>
      </c>
      <c r="DX55" s="16">
        <f>(1-DU55)*DV55</f>
        <v>0</v>
      </c>
      <c r="DY55" s="16">
        <f>DU55*DV55</f>
        <v>0</v>
      </c>
      <c r="DZ55" s="3" t="s">
        <v>45</v>
      </c>
      <c r="EA55" s="10">
        <f>IF(DT55=1, (DZ55-$I55)/365.25*12, IF(DT55=0, $DL55, "ERROR"))</f>
        <v>63.441478439425055</v>
      </c>
      <c r="EB55" s="7">
        <v>0</v>
      </c>
      <c r="EC55" s="7">
        <v>0</v>
      </c>
      <c r="ED55" s="16">
        <f>1-((1-DQ55)*(1-DT55))</f>
        <v>0</v>
      </c>
      <c r="EE55" s="11" t="s">
        <v>45</v>
      </c>
      <c r="EF55" s="1" t="s">
        <v>45</v>
      </c>
      <c r="EG55" s="7" t="s">
        <v>45</v>
      </c>
      <c r="EH55" s="1" t="s">
        <v>45</v>
      </c>
      <c r="EI55" s="1">
        <v>0</v>
      </c>
      <c r="EJ55" s="16">
        <f>(1-DQ55)*DX55*(1-EI55)</f>
        <v>0</v>
      </c>
      <c r="EK55" s="1" t="s">
        <v>45</v>
      </c>
      <c r="EL55" s="10">
        <f>IF(EI55=1, (EK55-$I55)/365.25*12, IF(EI55=0, $DL55, "ERROR"))</f>
        <v>63.441478439425055</v>
      </c>
      <c r="EM55" s="1" t="s">
        <v>45</v>
      </c>
      <c r="EN55" s="1">
        <v>0</v>
      </c>
      <c r="EO55" s="1">
        <v>0</v>
      </c>
      <c r="EP55" s="1">
        <v>0</v>
      </c>
      <c r="EQ55" s="1">
        <v>0</v>
      </c>
      <c r="ER55" s="1">
        <v>0</v>
      </c>
      <c r="ES55" s="1">
        <v>0</v>
      </c>
      <c r="ET55" s="1">
        <v>0</v>
      </c>
      <c r="EU55" s="1">
        <v>0</v>
      </c>
      <c r="EV55" s="1">
        <v>0</v>
      </c>
      <c r="EW55" s="1">
        <f>1-((1-EP55)*(1-ET55)*(1-EU55)*(1-EV55))</f>
        <v>0</v>
      </c>
      <c r="EX55" s="7">
        <v>0</v>
      </c>
      <c r="EY55" s="7">
        <v>0</v>
      </c>
      <c r="EZ55" s="7">
        <v>0</v>
      </c>
      <c r="FA55" s="7">
        <v>0</v>
      </c>
      <c r="FB55" s="1" t="s">
        <v>45</v>
      </c>
      <c r="FC55" s="1">
        <v>0</v>
      </c>
      <c r="FD55" s="1">
        <v>1</v>
      </c>
      <c r="FE55" s="1"/>
      <c r="FF55" s="1" t="s">
        <v>45</v>
      </c>
      <c r="FG55" s="3">
        <f>IF(FC55=1, FF55, IF(FD55=1, 44348, DJ55))</f>
        <v>44348</v>
      </c>
      <c r="FH55" s="13">
        <f>(FG55-I55)/365.25*12</f>
        <v>69.618069815195071</v>
      </c>
      <c r="FI55" s="13"/>
      <c r="FJ55" s="14">
        <f>IF(OR(DM55,FC55), 1, 0)</f>
        <v>0</v>
      </c>
      <c r="FK55" s="11">
        <f>IF(DM55=1,IF(FC55=1,MIN(DO55,FF55),DO55),IF(FC55=1,FF55,DJ55))</f>
        <v>44160</v>
      </c>
      <c r="FL55" s="13">
        <f>(FK55-$I55)/365.25*12</f>
        <v>63.441478439425055</v>
      </c>
      <c r="FM55" s="14">
        <f>IF(OR(ED55,FC55), 1, 0)</f>
        <v>0</v>
      </c>
      <c r="FN55" s="11">
        <f>IF(ED55=1,IF(FC55=1,MIN(EE55,FF55),EE55),IF(FC55=1,FF55,DJ55))</f>
        <v>44160</v>
      </c>
      <c r="FO55" s="13">
        <f>(FN55-$I55)/365.25*12</f>
        <v>63.441478439425055</v>
      </c>
      <c r="FP55" s="14">
        <f>IF(OR(EI55,FC55), 1, 0)</f>
        <v>0</v>
      </c>
      <c r="FQ55" s="11">
        <f>IF(EI55=1,IF(FC55=1,MIN(EK55,FF55),EK55),IF(FC55=1,FF55,DJ55))</f>
        <v>44160</v>
      </c>
      <c r="FR55" s="13">
        <f>(FQ55-$I55)/365.25*12</f>
        <v>63.441478439425055</v>
      </c>
      <c r="FS55" s="1"/>
      <c r="FT55" s="1"/>
      <c r="FU55" s="1">
        <v>1</v>
      </c>
      <c r="FV55" s="1">
        <v>0</v>
      </c>
      <c r="FW55" s="1">
        <v>0</v>
      </c>
      <c r="FX55" s="1">
        <v>0</v>
      </c>
      <c r="FY55" s="1"/>
      <c r="FZ55" s="1"/>
    </row>
    <row r="56" spans="1:182" s="17" customFormat="1" ht="12.75" hidden="1" customHeight="1">
      <c r="A56" s="1" t="s">
        <v>1818</v>
      </c>
      <c r="B56" s="15" t="s">
        <v>1817</v>
      </c>
      <c r="C56" s="1">
        <v>27450491</v>
      </c>
      <c r="D56" s="1">
        <v>0</v>
      </c>
      <c r="E56" s="1">
        <v>0</v>
      </c>
      <c r="F56" s="1">
        <v>0</v>
      </c>
      <c r="G56" s="12">
        <v>1</v>
      </c>
      <c r="H56" s="1"/>
      <c r="I56" s="3">
        <v>42341</v>
      </c>
      <c r="J56" s="3">
        <v>42314</v>
      </c>
      <c r="K56" s="3">
        <v>17472</v>
      </c>
      <c r="L56" s="5">
        <f>(DAYS360(K56,I56))/365</f>
        <v>67.156164383561645</v>
      </c>
      <c r="M56" s="1" t="s">
        <v>5</v>
      </c>
      <c r="N56" s="1">
        <v>1</v>
      </c>
      <c r="O56" s="1">
        <v>0</v>
      </c>
      <c r="P56" s="1" t="s">
        <v>69</v>
      </c>
      <c r="Q56" s="1">
        <v>1</v>
      </c>
      <c r="R56" s="1" t="s">
        <v>18</v>
      </c>
      <c r="S56" s="1" t="s">
        <v>1816</v>
      </c>
      <c r="T56" s="1" t="s">
        <v>98</v>
      </c>
      <c r="U56" s="1">
        <v>1</v>
      </c>
      <c r="V56" s="1">
        <v>1</v>
      </c>
      <c r="W56" s="1">
        <v>0</v>
      </c>
      <c r="X56" s="1" t="s">
        <v>117</v>
      </c>
      <c r="Y56" s="1">
        <v>3</v>
      </c>
      <c r="Z56" s="1">
        <v>1</v>
      </c>
      <c r="AA56" s="1" t="s">
        <v>116</v>
      </c>
      <c r="AB56" s="1"/>
      <c r="AC56" s="1">
        <v>3</v>
      </c>
      <c r="AD56" s="1" t="s">
        <v>1287</v>
      </c>
      <c r="AE56" s="1" t="s">
        <v>114</v>
      </c>
      <c r="AF56" s="1">
        <v>0</v>
      </c>
      <c r="AG56" s="1">
        <v>0</v>
      </c>
      <c r="AH56" s="1">
        <v>0</v>
      </c>
      <c r="AI56" s="3">
        <v>42341</v>
      </c>
      <c r="AJ56" s="3">
        <v>42377</v>
      </c>
      <c r="AK56" s="6" t="s">
        <v>1370</v>
      </c>
      <c r="AL56" s="6"/>
      <c r="AM56" s="1">
        <v>0</v>
      </c>
      <c r="AN56" s="1">
        <v>0</v>
      </c>
      <c r="AO56" s="1">
        <v>0</v>
      </c>
      <c r="AP56" s="1">
        <v>0</v>
      </c>
      <c r="AQ56" s="1">
        <v>0</v>
      </c>
      <c r="AR56" s="1">
        <v>0</v>
      </c>
      <c r="AS56" s="12">
        <f>IF(AND(AM56=0,AU56&lt;=2), 1, 0)</f>
        <v>1</v>
      </c>
      <c r="AT56" s="12">
        <v>1</v>
      </c>
      <c r="AU56" s="1">
        <v>2</v>
      </c>
      <c r="AV56" s="1">
        <v>0.5</v>
      </c>
      <c r="AW56" s="1">
        <v>0.5</v>
      </c>
      <c r="AX56" s="6" t="s">
        <v>45</v>
      </c>
      <c r="AY56" s="6" t="s">
        <v>45</v>
      </c>
      <c r="AZ56" s="1">
        <v>0.7</v>
      </c>
      <c r="BA56" s="1">
        <v>7</v>
      </c>
      <c r="BB56" s="1">
        <v>238.8</v>
      </c>
      <c r="BC56" s="1">
        <f>9.5-6+0.5</f>
        <v>4</v>
      </c>
      <c r="BD56" s="1">
        <v>2</v>
      </c>
      <c r="BE56" s="1">
        <v>457.2</v>
      </c>
      <c r="BF56" s="1"/>
      <c r="BG56" s="1">
        <v>45</v>
      </c>
      <c r="BH56" s="1">
        <v>45</v>
      </c>
      <c r="BI56" s="1">
        <v>0</v>
      </c>
      <c r="BJ56" s="1">
        <v>0</v>
      </c>
      <c r="BK56" s="1">
        <f>BH56+BI56</f>
        <v>45</v>
      </c>
      <c r="BL56" s="1">
        <v>25</v>
      </c>
      <c r="BM56" s="1">
        <v>1.8</v>
      </c>
      <c r="BN56" s="1" t="s">
        <v>110</v>
      </c>
      <c r="BO56" s="1">
        <v>0</v>
      </c>
      <c r="BP56" s="1">
        <v>1</v>
      </c>
      <c r="BQ56" s="1">
        <v>1</v>
      </c>
      <c r="BR56" s="3">
        <v>42341</v>
      </c>
      <c r="BS56" s="1" t="s">
        <v>61</v>
      </c>
      <c r="BT56" s="12" t="s">
        <v>60</v>
      </c>
      <c r="BU56" s="1">
        <v>5</v>
      </c>
      <c r="BV56" s="1">
        <v>1</v>
      </c>
      <c r="BW56" s="1">
        <v>8.6999999999999993</v>
      </c>
      <c r="BX56" s="1">
        <v>0.65800000000000003</v>
      </c>
      <c r="BY56" s="1">
        <v>0.21</v>
      </c>
      <c r="BZ56" s="1">
        <v>11</v>
      </c>
      <c r="CA56" s="1">
        <v>407</v>
      </c>
      <c r="CB56" s="1">
        <v>1.48</v>
      </c>
      <c r="CC56" s="1">
        <v>23.4</v>
      </c>
      <c r="CD56" s="1">
        <v>9.9</v>
      </c>
      <c r="CE56" s="1">
        <v>1</v>
      </c>
      <c r="CF56" s="3">
        <v>42423</v>
      </c>
      <c r="CG56" s="7">
        <f>CF56-AJ56</f>
        <v>46</v>
      </c>
      <c r="CH56" s="1" t="s">
        <v>1815</v>
      </c>
      <c r="CI56" s="12" t="s">
        <v>183</v>
      </c>
      <c r="CJ56" s="1" t="s">
        <v>182</v>
      </c>
      <c r="CK56" s="1" t="s">
        <v>1110</v>
      </c>
      <c r="CL56" s="1" t="s">
        <v>1109</v>
      </c>
      <c r="CM56" s="1">
        <v>0</v>
      </c>
      <c r="CN56" s="1"/>
      <c r="CO56" s="1" t="s">
        <v>650</v>
      </c>
      <c r="CP56" s="1"/>
      <c r="CQ56" s="1" t="s">
        <v>1814</v>
      </c>
      <c r="CR56" s="1">
        <v>3</v>
      </c>
      <c r="CS56" s="1" t="s">
        <v>1014</v>
      </c>
      <c r="CT56" s="1" t="s">
        <v>511</v>
      </c>
      <c r="CU56" s="1" t="s">
        <v>454</v>
      </c>
      <c r="CV56" s="1">
        <v>0</v>
      </c>
      <c r="CW56" s="1">
        <v>1.6</v>
      </c>
      <c r="CX56" s="1">
        <v>10.6</v>
      </c>
      <c r="CY56" s="1">
        <v>0.2</v>
      </c>
      <c r="CZ56" s="1">
        <v>1</v>
      </c>
      <c r="DA56" s="1">
        <v>65</v>
      </c>
      <c r="DB56" s="2">
        <f>CZ56/DA56*100</f>
        <v>1.5384615384615385</v>
      </c>
      <c r="DC56" s="1">
        <v>0</v>
      </c>
      <c r="DD56" s="1">
        <v>0</v>
      </c>
      <c r="DE56" s="1">
        <v>1</v>
      </c>
      <c r="DF56" s="1">
        <v>0</v>
      </c>
      <c r="DG56" s="26" t="s">
        <v>1813</v>
      </c>
      <c r="DH56" s="7">
        <v>0</v>
      </c>
      <c r="DI56" s="7">
        <v>0</v>
      </c>
      <c r="DJ56" s="3">
        <v>42543</v>
      </c>
      <c r="DK56" s="1" t="s">
        <v>1812</v>
      </c>
      <c r="DL56" s="1">
        <f>(DJ56-I56)/365.25*12</f>
        <v>6.6365503080082142</v>
      </c>
      <c r="DM56" s="1">
        <v>0</v>
      </c>
      <c r="DN56" s="1" t="s">
        <v>45</v>
      </c>
      <c r="DO56" s="1" t="s">
        <v>45</v>
      </c>
      <c r="DP56" s="6" t="s">
        <v>45</v>
      </c>
      <c r="DQ56" s="7">
        <v>0</v>
      </c>
      <c r="DR56" s="3" t="s">
        <v>45</v>
      </c>
      <c r="DS56" s="10">
        <f>IF(DQ56=1, (DR56-$I56)/365.25*12, IF(DQ56=0, $DL56, "ERROR"))</f>
        <v>6.6365503080082142</v>
      </c>
      <c r="DT56" s="7">
        <v>0</v>
      </c>
      <c r="DU56" s="7">
        <v>0</v>
      </c>
      <c r="DV56" s="7">
        <v>0</v>
      </c>
      <c r="DW56" s="16">
        <f>DU56*(1-DV56)</f>
        <v>0</v>
      </c>
      <c r="DX56" s="16">
        <f>(1-DU56)*DV56</f>
        <v>0</v>
      </c>
      <c r="DY56" s="16">
        <f>DU56*DV56</f>
        <v>0</v>
      </c>
      <c r="DZ56" s="3" t="s">
        <v>45</v>
      </c>
      <c r="EA56" s="10">
        <f>IF(DT56=1, (DZ56-$I56)/365.25*12, IF(DT56=0, $DL56, "ERROR"))</f>
        <v>6.6365503080082142</v>
      </c>
      <c r="EB56" s="7">
        <v>0</v>
      </c>
      <c r="EC56" s="7">
        <v>0</v>
      </c>
      <c r="ED56" s="16">
        <f>1-((1-DQ56)*(1-DT56))</f>
        <v>0</v>
      </c>
      <c r="EE56" s="11" t="s">
        <v>45</v>
      </c>
      <c r="EF56" s="1" t="s">
        <v>45</v>
      </c>
      <c r="EG56" s="7" t="s">
        <v>45</v>
      </c>
      <c r="EH56" s="1" t="s">
        <v>45</v>
      </c>
      <c r="EI56" s="1">
        <v>0</v>
      </c>
      <c r="EJ56" s="16">
        <f>(1-DQ56)*DX56*(1-EI56)</f>
        <v>0</v>
      </c>
      <c r="EK56" s="1" t="s">
        <v>45</v>
      </c>
      <c r="EL56" s="10">
        <f>IF(EI56=1, (EK56-$I56)/365.25*12, IF(EI56=0, $DL56, "ERROR"))</f>
        <v>6.6365503080082142</v>
      </c>
      <c r="EM56" s="1" t="s">
        <v>45</v>
      </c>
      <c r="EN56" s="1">
        <v>0</v>
      </c>
      <c r="EO56" s="1">
        <v>0</v>
      </c>
      <c r="EP56" s="1">
        <v>0</v>
      </c>
      <c r="EQ56" s="1">
        <v>0</v>
      </c>
      <c r="ER56" s="1">
        <v>0</v>
      </c>
      <c r="ES56" s="1">
        <v>0</v>
      </c>
      <c r="ET56" s="1">
        <v>0</v>
      </c>
      <c r="EU56" s="1">
        <v>0</v>
      </c>
      <c r="EV56" s="1">
        <v>0</v>
      </c>
      <c r="EW56" s="1">
        <f>1-((1-EP56)*(1-ET56)*(1-EU56)*(1-EV56))</f>
        <v>0</v>
      </c>
      <c r="EX56" s="7">
        <v>0</v>
      </c>
      <c r="EY56" s="7">
        <v>0</v>
      </c>
      <c r="EZ56" s="7">
        <v>0</v>
      </c>
      <c r="FA56" s="7">
        <v>0</v>
      </c>
      <c r="FB56" s="1" t="s">
        <v>45</v>
      </c>
      <c r="FC56" s="1">
        <v>1</v>
      </c>
      <c r="FD56" s="1">
        <v>1</v>
      </c>
      <c r="FE56" s="1"/>
      <c r="FF56" s="3">
        <v>42682</v>
      </c>
      <c r="FG56" s="3">
        <f>IF(FC56=1, FF56, IF(FD56=1, 44348, DJ56))</f>
        <v>42682</v>
      </c>
      <c r="FH56" s="13">
        <f>(FG56-I56)/365.25*12</f>
        <v>11.203285420944558</v>
      </c>
      <c r="FI56" s="13"/>
      <c r="FJ56" s="14">
        <f>IF(OR(DM56,FC56), 1, 0)</f>
        <v>1</v>
      </c>
      <c r="FK56" s="11">
        <f>IF(DM56=1,IF(FC56=1,MIN(DO56,FF56),DO56),IF(FC56=1,FF56,DJ56))</f>
        <v>42682</v>
      </c>
      <c r="FL56" s="13">
        <f>(FK56-$I56)/365.25*12</f>
        <v>11.203285420944558</v>
      </c>
      <c r="FM56" s="14">
        <f>IF(OR(ED56,FC56), 1, 0)</f>
        <v>1</v>
      </c>
      <c r="FN56" s="11">
        <f>IF(ED56=1,IF(FC56=1,MIN(EE56,FF56),EE56),IF(FC56=1,FF56,DJ56))</f>
        <v>42682</v>
      </c>
      <c r="FO56" s="13">
        <f>(FN56-$I56)/365.25*12</f>
        <v>11.203285420944558</v>
      </c>
      <c r="FP56" s="14">
        <f>IF(OR(EI56,FC56), 1, 0)</f>
        <v>1</v>
      </c>
      <c r="FQ56" s="11">
        <f>IF(EI56=1,IF(FC56=1,MIN(EK56,FF56),EK56),IF(FC56=1,FF56,DJ56))</f>
        <v>42682</v>
      </c>
      <c r="FR56" s="13">
        <f>(FQ56-$I56)/365.25*12</f>
        <v>11.203285420944558</v>
      </c>
      <c r="FS56" s="1"/>
      <c r="FT56" s="1"/>
      <c r="FU56" s="1">
        <v>0</v>
      </c>
      <c r="FV56" s="1">
        <v>0</v>
      </c>
      <c r="FW56" s="1">
        <v>0</v>
      </c>
      <c r="FX56" s="1">
        <v>0</v>
      </c>
      <c r="FY56" s="1" t="s">
        <v>1811</v>
      </c>
      <c r="FZ56" s="1"/>
    </row>
    <row r="57" spans="1:182" s="17" customFormat="1" ht="12.75" hidden="1" customHeight="1">
      <c r="A57" s="1" t="s">
        <v>1810</v>
      </c>
      <c r="B57" s="15" t="s">
        <v>1809</v>
      </c>
      <c r="C57" s="1">
        <v>37420954</v>
      </c>
      <c r="D57" s="1">
        <v>0</v>
      </c>
      <c r="E57" s="1">
        <v>0</v>
      </c>
      <c r="F57" s="1">
        <v>0</v>
      </c>
      <c r="G57" s="12">
        <v>1</v>
      </c>
      <c r="H57" s="1"/>
      <c r="I57" s="3">
        <v>43124</v>
      </c>
      <c r="J57" s="3">
        <v>43083</v>
      </c>
      <c r="K57" s="3">
        <v>21995</v>
      </c>
      <c r="L57" s="5">
        <f>(DAYS360(K57,I57))/365</f>
        <v>57.052054794520551</v>
      </c>
      <c r="M57" s="1" t="s">
        <v>5</v>
      </c>
      <c r="N57" s="1">
        <v>1</v>
      </c>
      <c r="O57" s="1">
        <v>0</v>
      </c>
      <c r="P57" s="1" t="s">
        <v>69</v>
      </c>
      <c r="Q57" s="1">
        <v>1</v>
      </c>
      <c r="R57" s="1" t="s">
        <v>18</v>
      </c>
      <c r="S57" s="1">
        <v>25</v>
      </c>
      <c r="T57" s="1" t="s">
        <v>140</v>
      </c>
      <c r="U57" s="1">
        <v>1</v>
      </c>
      <c r="V57" s="1">
        <v>0</v>
      </c>
      <c r="W57" s="1">
        <v>0</v>
      </c>
      <c r="X57" s="1" t="s">
        <v>79</v>
      </c>
      <c r="Y57" s="1">
        <v>3</v>
      </c>
      <c r="Z57" s="1">
        <v>0</v>
      </c>
      <c r="AA57" s="1" t="s">
        <v>65</v>
      </c>
      <c r="AB57" s="1"/>
      <c r="AC57" s="1">
        <v>2</v>
      </c>
      <c r="AD57" s="1" t="s">
        <v>64</v>
      </c>
      <c r="AE57" s="1" t="s">
        <v>64</v>
      </c>
      <c r="AF57" s="1">
        <v>0</v>
      </c>
      <c r="AG57" s="1">
        <v>0</v>
      </c>
      <c r="AH57" s="1">
        <v>0</v>
      </c>
      <c r="AI57" s="3">
        <v>43124</v>
      </c>
      <c r="AJ57" s="3">
        <v>43161</v>
      </c>
      <c r="AK57" s="6" t="s">
        <v>1389</v>
      </c>
      <c r="AL57" s="6" t="s">
        <v>1808</v>
      </c>
      <c r="AM57" s="1">
        <v>1</v>
      </c>
      <c r="AN57" s="1">
        <v>1</v>
      </c>
      <c r="AO57" s="1">
        <v>0</v>
      </c>
      <c r="AP57" s="1">
        <v>0</v>
      </c>
      <c r="AQ57" s="1">
        <v>0</v>
      </c>
      <c r="AR57" s="1">
        <v>0</v>
      </c>
      <c r="AS57" s="12">
        <f>IF(AND(AM57=0,AU57&lt;=2), 1, 0)</f>
        <v>0</v>
      </c>
      <c r="AT57" s="12">
        <v>0</v>
      </c>
      <c r="AU57" s="1">
        <v>2</v>
      </c>
      <c r="AV57" s="1">
        <v>0.5</v>
      </c>
      <c r="AW57" s="1"/>
      <c r="AX57" s="6" t="s">
        <v>45</v>
      </c>
      <c r="AY57" s="6" t="s">
        <v>45</v>
      </c>
      <c r="AZ57" s="6" t="s">
        <v>46</v>
      </c>
      <c r="BA57" s="1">
        <v>3.9</v>
      </c>
      <c r="BB57" s="1">
        <v>216.2</v>
      </c>
      <c r="BC57" s="1">
        <f>6.9-3.3+0.3</f>
        <v>3.9000000000000004</v>
      </c>
      <c r="BD57" s="1">
        <v>2</v>
      </c>
      <c r="BE57" s="1">
        <v>489.9</v>
      </c>
      <c r="BF57" s="1"/>
      <c r="BG57" s="1">
        <v>45</v>
      </c>
      <c r="BH57" s="1">
        <v>45</v>
      </c>
      <c r="BI57" s="1">
        <v>0</v>
      </c>
      <c r="BJ57" s="1">
        <v>0</v>
      </c>
      <c r="BK57" s="1">
        <f>BH57+BI57</f>
        <v>45</v>
      </c>
      <c r="BL57" s="1">
        <v>25</v>
      </c>
      <c r="BM57" s="1">
        <v>1.8</v>
      </c>
      <c r="BN57" s="1" t="s">
        <v>62</v>
      </c>
      <c r="BO57" s="1">
        <v>1</v>
      </c>
      <c r="BP57" s="1">
        <v>1</v>
      </c>
      <c r="BQ57" s="1">
        <v>1</v>
      </c>
      <c r="BR57" s="3">
        <v>43124</v>
      </c>
      <c r="BS57" s="1" t="s">
        <v>61</v>
      </c>
      <c r="BT57" s="12" t="s">
        <v>60</v>
      </c>
      <c r="BU57" s="1">
        <v>5</v>
      </c>
      <c r="BV57" s="1">
        <v>1</v>
      </c>
      <c r="BW57" s="1">
        <v>5.67</v>
      </c>
      <c r="BX57" s="1">
        <v>0.53800000000000003</v>
      </c>
      <c r="BY57" s="1">
        <v>0.33500000000000002</v>
      </c>
      <c r="BZ57" s="1">
        <v>14</v>
      </c>
      <c r="CA57" s="1">
        <v>222</v>
      </c>
      <c r="CB57" s="1">
        <v>1.83</v>
      </c>
      <c r="CC57" s="1">
        <v>11.7</v>
      </c>
      <c r="CD57" s="1">
        <v>5.4</v>
      </c>
      <c r="CE57" s="1">
        <v>1</v>
      </c>
      <c r="CF57" s="3">
        <v>43202</v>
      </c>
      <c r="CG57" s="7">
        <f>CF57-AJ57</f>
        <v>41</v>
      </c>
      <c r="CH57" s="1" t="s">
        <v>1807</v>
      </c>
      <c r="CI57" s="1" t="s">
        <v>730</v>
      </c>
      <c r="CJ57" s="1" t="s">
        <v>182</v>
      </c>
      <c r="CK57" s="1" t="s">
        <v>1806</v>
      </c>
      <c r="CL57" s="1" t="s">
        <v>96</v>
      </c>
      <c r="CM57" s="1">
        <v>0</v>
      </c>
      <c r="CN57" s="1"/>
      <c r="CO57" s="1" t="s">
        <v>1004</v>
      </c>
      <c r="CP57" s="1"/>
      <c r="CQ57" s="1" t="s">
        <v>1805</v>
      </c>
      <c r="CR57" s="1">
        <v>3.1</v>
      </c>
      <c r="CS57" s="1" t="s">
        <v>1014</v>
      </c>
      <c r="CT57" s="1" t="s">
        <v>473</v>
      </c>
      <c r="CU57" s="1" t="s">
        <v>472</v>
      </c>
      <c r="CV57" s="1">
        <v>0</v>
      </c>
      <c r="CW57" s="1">
        <v>2.2999999999999998</v>
      </c>
      <c r="CX57" s="1">
        <v>10.9</v>
      </c>
      <c r="CY57" s="1">
        <v>0.5</v>
      </c>
      <c r="CZ57" s="1">
        <v>8</v>
      </c>
      <c r="DA57" s="1">
        <v>87</v>
      </c>
      <c r="DB57" s="2">
        <f>CZ57/DA57*100</f>
        <v>9.1954022988505741</v>
      </c>
      <c r="DC57" s="1">
        <v>1</v>
      </c>
      <c r="DD57" s="1">
        <v>0</v>
      </c>
      <c r="DE57" s="1">
        <v>0</v>
      </c>
      <c r="DF57" s="1">
        <v>0</v>
      </c>
      <c r="DG57" s="26" t="s">
        <v>1804</v>
      </c>
      <c r="DH57" s="7">
        <v>0</v>
      </c>
      <c r="DI57" s="7">
        <v>1</v>
      </c>
      <c r="DJ57" s="3">
        <v>44181</v>
      </c>
      <c r="DK57" s="1" t="s">
        <v>75</v>
      </c>
      <c r="DL57" s="1">
        <f>(DJ57-I57)/365.25*12</f>
        <v>34.726899383983579</v>
      </c>
      <c r="DM57" s="1">
        <v>0</v>
      </c>
      <c r="DN57" s="1" t="s">
        <v>45</v>
      </c>
      <c r="DO57" s="1" t="s">
        <v>45</v>
      </c>
      <c r="DP57" s="6" t="s">
        <v>45</v>
      </c>
      <c r="DQ57" s="7">
        <v>0</v>
      </c>
      <c r="DR57" s="3" t="s">
        <v>45</v>
      </c>
      <c r="DS57" s="10">
        <f>IF(DQ57=1, (DR57-$I57)/365.25*12, IF(DQ57=0, $DL57, "ERROR"))</f>
        <v>34.726899383983579</v>
      </c>
      <c r="DT57" s="7">
        <v>0</v>
      </c>
      <c r="DU57" s="7">
        <v>0</v>
      </c>
      <c r="DV57" s="7">
        <v>0</v>
      </c>
      <c r="DW57" s="16">
        <f>DU57*(1-DV57)</f>
        <v>0</v>
      </c>
      <c r="DX57" s="16">
        <f>(1-DU57)*DV57</f>
        <v>0</v>
      </c>
      <c r="DY57" s="16">
        <f>DU57*DV57</f>
        <v>0</v>
      </c>
      <c r="DZ57" s="3" t="s">
        <v>45</v>
      </c>
      <c r="EA57" s="10">
        <f>IF(DT57=1, (DZ57-$I57)/365.25*12, IF(DT57=0, $DL57, "ERROR"))</f>
        <v>34.726899383983579</v>
      </c>
      <c r="EB57" s="7">
        <v>0</v>
      </c>
      <c r="EC57" s="7">
        <v>0</v>
      </c>
      <c r="ED57" s="16">
        <f>1-((1-DQ57)*(1-DT57))</f>
        <v>0</v>
      </c>
      <c r="EE57" s="11" t="s">
        <v>45</v>
      </c>
      <c r="EF57" s="1" t="s">
        <v>45</v>
      </c>
      <c r="EG57" s="7" t="s">
        <v>45</v>
      </c>
      <c r="EH57" s="1" t="s">
        <v>45</v>
      </c>
      <c r="EI57" s="1">
        <v>0</v>
      </c>
      <c r="EJ57" s="16">
        <f>(1-DQ57)*DX57*(1-EI57)</f>
        <v>0</v>
      </c>
      <c r="EK57" s="1" t="s">
        <v>45</v>
      </c>
      <c r="EL57" s="10">
        <f>IF(EI57=1, (EK57-$I57)/365.25*12, IF(EI57=0, $DL57, "ERROR"))</f>
        <v>34.726899383983579</v>
      </c>
      <c r="EM57" s="1" t="s">
        <v>45</v>
      </c>
      <c r="EN57" s="1">
        <v>0</v>
      </c>
      <c r="EO57" s="1">
        <v>0</v>
      </c>
      <c r="EP57" s="1">
        <v>0</v>
      </c>
      <c r="EQ57" s="1">
        <v>0</v>
      </c>
      <c r="ER57" s="1">
        <v>0</v>
      </c>
      <c r="ES57" s="1">
        <v>0</v>
      </c>
      <c r="ET57" s="1">
        <v>0</v>
      </c>
      <c r="EU57" s="1">
        <v>0</v>
      </c>
      <c r="EV57" s="1">
        <v>0</v>
      </c>
      <c r="EW57" s="1">
        <f>1-((1-EP57)*(1-ET57)*(1-EU57)*(1-EV57))</f>
        <v>0</v>
      </c>
      <c r="EX57" s="7">
        <v>0</v>
      </c>
      <c r="EY57" s="7">
        <v>0</v>
      </c>
      <c r="EZ57" s="7">
        <v>0</v>
      </c>
      <c r="FA57" s="7">
        <v>0</v>
      </c>
      <c r="FB57" s="1" t="s">
        <v>45</v>
      </c>
      <c r="FC57" s="1">
        <v>0</v>
      </c>
      <c r="FD57" s="1">
        <v>1</v>
      </c>
      <c r="FE57" s="1"/>
      <c r="FF57" s="1" t="s">
        <v>45</v>
      </c>
      <c r="FG57" s="3">
        <f>IF(FC57=1, FF57, IF(FD57=1, 44348, DJ57))</f>
        <v>44348</v>
      </c>
      <c r="FH57" s="13">
        <f>(FG57-I57)/365.25*12</f>
        <v>40.213552361396303</v>
      </c>
      <c r="FI57" s="13"/>
      <c r="FJ57" s="14">
        <f>IF(OR(DM57,FC57), 1, 0)</f>
        <v>0</v>
      </c>
      <c r="FK57" s="11">
        <f>IF(DM57=1,IF(FC57=1,MIN(DO57,FF57),DO57),IF(FC57=1,FF57,DJ57))</f>
        <v>44181</v>
      </c>
      <c r="FL57" s="13">
        <f>(FK57-$I57)/365.25*12</f>
        <v>34.726899383983579</v>
      </c>
      <c r="FM57" s="14">
        <f>IF(OR(ED57,FC57), 1, 0)</f>
        <v>0</v>
      </c>
      <c r="FN57" s="11">
        <f>IF(ED57=1,IF(FC57=1,MIN(EE57,FF57),EE57),IF(FC57=1,FF57,DJ57))</f>
        <v>44181</v>
      </c>
      <c r="FO57" s="13">
        <f>(FN57-$I57)/365.25*12</f>
        <v>34.726899383983579</v>
      </c>
      <c r="FP57" s="14">
        <f>IF(OR(EI57,FC57), 1, 0)</f>
        <v>0</v>
      </c>
      <c r="FQ57" s="11">
        <f>IF(EI57=1,IF(FC57=1,MIN(EK57,FF57),EK57),IF(FC57=1,FF57,DJ57))</f>
        <v>44181</v>
      </c>
      <c r="FR57" s="13">
        <f>(FQ57-$I57)/365.25*12</f>
        <v>34.726899383983579</v>
      </c>
      <c r="FS57" s="1"/>
      <c r="FT57" s="1"/>
      <c r="FU57" s="1">
        <v>0</v>
      </c>
      <c r="FV57" s="1">
        <v>0</v>
      </c>
      <c r="FW57" s="1">
        <v>0</v>
      </c>
      <c r="FX57" s="1">
        <v>0</v>
      </c>
      <c r="FY57" s="1"/>
      <c r="FZ57" s="1"/>
    </row>
    <row r="58" spans="1:182" s="17" customFormat="1" ht="12.75" hidden="1" customHeight="1">
      <c r="A58" s="1" t="s">
        <v>1803</v>
      </c>
      <c r="B58" s="15" t="s">
        <v>1802</v>
      </c>
      <c r="C58" s="1">
        <v>47105182</v>
      </c>
      <c r="D58" s="1">
        <v>0</v>
      </c>
      <c r="E58" s="1">
        <v>0</v>
      </c>
      <c r="F58" s="1">
        <v>0</v>
      </c>
      <c r="G58" s="12">
        <v>1</v>
      </c>
      <c r="H58" s="1"/>
      <c r="I58" s="3">
        <v>42219</v>
      </c>
      <c r="J58" s="3">
        <v>42200</v>
      </c>
      <c r="K58" s="3">
        <v>19459</v>
      </c>
      <c r="L58" s="5">
        <f>(DAYS360(K58,I58))/365</f>
        <v>61.460273972602742</v>
      </c>
      <c r="M58" s="1" t="s">
        <v>5</v>
      </c>
      <c r="N58" s="1">
        <v>1</v>
      </c>
      <c r="O58" s="1">
        <v>0</v>
      </c>
      <c r="P58" s="1" t="s">
        <v>69</v>
      </c>
      <c r="Q58" s="1">
        <v>1</v>
      </c>
      <c r="R58" s="1" t="s">
        <v>18</v>
      </c>
      <c r="S58" s="1">
        <v>30</v>
      </c>
      <c r="T58" s="1" t="s">
        <v>80</v>
      </c>
      <c r="U58" s="1">
        <v>0</v>
      </c>
      <c r="V58" s="1">
        <v>1</v>
      </c>
      <c r="W58" s="1">
        <v>0</v>
      </c>
      <c r="X58" s="1" t="s">
        <v>1113</v>
      </c>
      <c r="Y58" s="1">
        <v>2</v>
      </c>
      <c r="Z58" s="1">
        <v>0</v>
      </c>
      <c r="AA58" s="1" t="s">
        <v>96</v>
      </c>
      <c r="AB58" s="1"/>
      <c r="AC58" s="1">
        <v>5</v>
      </c>
      <c r="AD58" s="1" t="s">
        <v>1801</v>
      </c>
      <c r="AE58" s="1" t="s">
        <v>174</v>
      </c>
      <c r="AF58" s="1">
        <v>1</v>
      </c>
      <c r="AG58" s="1">
        <v>1</v>
      </c>
      <c r="AH58" s="1">
        <v>1</v>
      </c>
      <c r="AI58" s="3">
        <v>42219</v>
      </c>
      <c r="AJ58" s="3">
        <v>42251</v>
      </c>
      <c r="AK58" s="6" t="s">
        <v>1800</v>
      </c>
      <c r="AL58" s="6"/>
      <c r="AM58" s="1">
        <v>1</v>
      </c>
      <c r="AN58" s="1">
        <v>1</v>
      </c>
      <c r="AO58" s="1">
        <v>1</v>
      </c>
      <c r="AP58" s="1">
        <v>0</v>
      </c>
      <c r="AQ58" s="1">
        <v>0</v>
      </c>
      <c r="AR58" s="1">
        <v>0</v>
      </c>
      <c r="AS58" s="12">
        <f>IF(AND(AM58=0,AU58&lt;=2), 1, 0)</f>
        <v>0</v>
      </c>
      <c r="AT58" s="12">
        <v>0</v>
      </c>
      <c r="AU58" s="1">
        <v>2</v>
      </c>
      <c r="AV58" s="1">
        <v>0.5</v>
      </c>
      <c r="AW58" s="1"/>
      <c r="AX58" s="6" t="s">
        <v>45</v>
      </c>
      <c r="AY58" s="6" t="s">
        <v>45</v>
      </c>
      <c r="AZ58" s="1">
        <v>0.5</v>
      </c>
      <c r="BA58" s="1">
        <v>3.3</v>
      </c>
      <c r="BB58" s="1">
        <v>182.3</v>
      </c>
      <c r="BC58" s="1">
        <v>6.9</v>
      </c>
      <c r="BD58" s="1">
        <v>2</v>
      </c>
      <c r="BE58" s="1">
        <v>386.9</v>
      </c>
      <c r="BF58" s="1"/>
      <c r="BG58" s="1">
        <v>45</v>
      </c>
      <c r="BH58" s="1">
        <v>45</v>
      </c>
      <c r="BI58" s="1">
        <v>0</v>
      </c>
      <c r="BJ58" s="1">
        <v>0</v>
      </c>
      <c r="BK58" s="1">
        <f>BH58+BI58</f>
        <v>45</v>
      </c>
      <c r="BL58" s="1">
        <v>25</v>
      </c>
      <c r="BM58" s="1">
        <v>1.8</v>
      </c>
      <c r="BN58" s="1" t="s">
        <v>110</v>
      </c>
      <c r="BO58" s="1">
        <v>0</v>
      </c>
      <c r="BP58" s="1">
        <v>1</v>
      </c>
      <c r="BQ58" s="1">
        <v>1</v>
      </c>
      <c r="BR58" s="3">
        <v>42207</v>
      </c>
      <c r="BS58" s="1" t="s">
        <v>61</v>
      </c>
      <c r="BT58" s="12" t="s">
        <v>60</v>
      </c>
      <c r="BU58" s="1">
        <v>5</v>
      </c>
      <c r="BV58" s="1">
        <v>1</v>
      </c>
      <c r="BW58" s="1">
        <v>5.58</v>
      </c>
      <c r="BX58" s="1">
        <v>0.56000000000000005</v>
      </c>
      <c r="BY58" s="1">
        <v>0.31900000000000001</v>
      </c>
      <c r="BZ58" s="1">
        <v>12.9</v>
      </c>
      <c r="CA58" s="1">
        <v>242</v>
      </c>
      <c r="CB58" s="1">
        <v>1.55</v>
      </c>
      <c r="CC58" s="1">
        <v>9.1</v>
      </c>
      <c r="CD58" s="1">
        <v>2.2999999999999998</v>
      </c>
      <c r="CE58" s="1">
        <v>1</v>
      </c>
      <c r="CF58" s="3">
        <v>42285</v>
      </c>
      <c r="CG58" s="7">
        <f>CF58-AJ58</f>
        <v>34</v>
      </c>
      <c r="CH58" s="1" t="s">
        <v>1799</v>
      </c>
      <c r="CI58" s="12" t="s">
        <v>183</v>
      </c>
      <c r="CJ58" s="1" t="s">
        <v>182</v>
      </c>
      <c r="CK58" s="1" t="s">
        <v>811</v>
      </c>
      <c r="CL58" s="1" t="s">
        <v>45</v>
      </c>
      <c r="CM58" s="1">
        <v>1</v>
      </c>
      <c r="CN58" s="1"/>
      <c r="CO58" s="1" t="s">
        <v>662</v>
      </c>
      <c r="CP58" s="1"/>
      <c r="CQ58" s="1" t="s">
        <v>45</v>
      </c>
      <c r="CR58" s="1">
        <v>0</v>
      </c>
      <c r="CS58" s="1" t="s">
        <v>45</v>
      </c>
      <c r="CT58" s="1" t="s">
        <v>45</v>
      </c>
      <c r="CU58" s="1" t="s">
        <v>45</v>
      </c>
      <c r="CV58" s="1">
        <v>0</v>
      </c>
      <c r="CW58" s="1" t="s">
        <v>45</v>
      </c>
      <c r="CX58" s="1" t="s">
        <v>45</v>
      </c>
      <c r="CY58" s="1" t="s">
        <v>45</v>
      </c>
      <c r="CZ58" s="1">
        <v>0</v>
      </c>
      <c r="DA58" s="1">
        <v>52</v>
      </c>
      <c r="DB58" s="2">
        <f>CZ58/DA58*100</f>
        <v>0</v>
      </c>
      <c r="DC58" s="1">
        <v>0</v>
      </c>
      <c r="DD58" s="1">
        <v>0</v>
      </c>
      <c r="DE58" s="1">
        <v>0</v>
      </c>
      <c r="DF58" s="1" t="s">
        <v>45</v>
      </c>
      <c r="DG58" s="26" t="s">
        <v>1798</v>
      </c>
      <c r="DH58" s="7">
        <v>0</v>
      </c>
      <c r="DI58" s="7">
        <v>0</v>
      </c>
      <c r="DJ58" s="3">
        <v>44097</v>
      </c>
      <c r="DK58" s="1" t="s">
        <v>75</v>
      </c>
      <c r="DL58" s="1">
        <f>(DJ58-I58)/365.25*12</f>
        <v>61.700205338809042</v>
      </c>
      <c r="DM58" s="1">
        <v>0</v>
      </c>
      <c r="DN58" s="1" t="s">
        <v>45</v>
      </c>
      <c r="DO58" s="1" t="s">
        <v>45</v>
      </c>
      <c r="DP58" s="6" t="s">
        <v>45</v>
      </c>
      <c r="DQ58" s="7">
        <v>0</v>
      </c>
      <c r="DR58" s="3" t="s">
        <v>45</v>
      </c>
      <c r="DS58" s="10">
        <f>IF(DQ58=1, (DR58-$I58)/365.25*12, IF(DQ58=0, $DL58, "ERROR"))</f>
        <v>61.700205338809042</v>
      </c>
      <c r="DT58" s="7">
        <v>0</v>
      </c>
      <c r="DU58" s="7">
        <v>0</v>
      </c>
      <c r="DV58" s="7">
        <v>0</v>
      </c>
      <c r="DW58" s="16">
        <f>DU58*(1-DV58)</f>
        <v>0</v>
      </c>
      <c r="DX58" s="16">
        <f>(1-DU58)*DV58</f>
        <v>0</v>
      </c>
      <c r="DY58" s="16">
        <f>DU58*DV58</f>
        <v>0</v>
      </c>
      <c r="DZ58" s="3" t="s">
        <v>45</v>
      </c>
      <c r="EA58" s="10">
        <f>IF(DT58=1, (DZ58-$I58)/365.25*12, IF(DT58=0, $DL58, "ERROR"))</f>
        <v>61.700205338809042</v>
      </c>
      <c r="EB58" s="7">
        <v>0</v>
      </c>
      <c r="EC58" s="7">
        <v>0</v>
      </c>
      <c r="ED58" s="16">
        <f>1-((1-DQ58)*(1-DT58))</f>
        <v>0</v>
      </c>
      <c r="EE58" s="11" t="s">
        <v>45</v>
      </c>
      <c r="EF58" s="1" t="s">
        <v>45</v>
      </c>
      <c r="EG58" s="7" t="s">
        <v>45</v>
      </c>
      <c r="EH58" s="1" t="s">
        <v>45</v>
      </c>
      <c r="EI58" s="1">
        <v>0</v>
      </c>
      <c r="EJ58" s="16">
        <f>(1-DQ58)*DX58*(1-EI58)</f>
        <v>0</v>
      </c>
      <c r="EK58" s="1" t="s">
        <v>45</v>
      </c>
      <c r="EL58" s="10">
        <f>IF(EI58=1, (EK58-$I58)/365.25*12, IF(EI58=0, $DL58, "ERROR"))</f>
        <v>61.700205338809042</v>
      </c>
      <c r="EM58" s="1" t="s">
        <v>45</v>
      </c>
      <c r="EN58" s="1">
        <v>0</v>
      </c>
      <c r="EO58" s="1">
        <v>0</v>
      </c>
      <c r="EP58" s="1">
        <v>0</v>
      </c>
      <c r="EQ58" s="1">
        <v>0</v>
      </c>
      <c r="ER58" s="1">
        <v>0</v>
      </c>
      <c r="ES58" s="1">
        <v>0</v>
      </c>
      <c r="ET58" s="1">
        <v>0</v>
      </c>
      <c r="EU58" s="1">
        <v>0</v>
      </c>
      <c r="EV58" s="1">
        <v>0</v>
      </c>
      <c r="EW58" s="1">
        <f>1-((1-EP58)*(1-ET58)*(1-EU58)*(1-EV58))</f>
        <v>0</v>
      </c>
      <c r="EX58" s="7">
        <v>0</v>
      </c>
      <c r="EY58" s="7">
        <v>0</v>
      </c>
      <c r="EZ58" s="7">
        <v>0</v>
      </c>
      <c r="FA58" s="7">
        <v>0</v>
      </c>
      <c r="FB58" s="1" t="s">
        <v>45</v>
      </c>
      <c r="FC58" s="1">
        <v>0</v>
      </c>
      <c r="FD58" s="1">
        <v>1</v>
      </c>
      <c r="FE58" s="1"/>
      <c r="FF58" s="1" t="s">
        <v>45</v>
      </c>
      <c r="FG58" s="3">
        <f>IF(FC58=1, FF58, IF(FD58=1, 44348, DJ58))</f>
        <v>44348</v>
      </c>
      <c r="FH58" s="13">
        <f>(FG58-I58)/365.25*12</f>
        <v>69.946611909650926</v>
      </c>
      <c r="FI58" s="13"/>
      <c r="FJ58" s="14">
        <f>IF(OR(DM58,FC58), 1, 0)</f>
        <v>0</v>
      </c>
      <c r="FK58" s="11">
        <f>IF(DM58=1,IF(FC58=1,MIN(DO58,FF58),DO58),IF(FC58=1,FF58,DJ58))</f>
        <v>44097</v>
      </c>
      <c r="FL58" s="13">
        <f>(FK58-$I58)/365.25*12</f>
        <v>61.700205338809042</v>
      </c>
      <c r="FM58" s="14">
        <f>IF(OR(ED58,FC58), 1, 0)</f>
        <v>0</v>
      </c>
      <c r="FN58" s="11">
        <f>IF(ED58=1,IF(FC58=1,MIN(EE58,FF58),EE58),IF(FC58=1,FF58,DJ58))</f>
        <v>44097</v>
      </c>
      <c r="FO58" s="13">
        <f>(FN58-$I58)/365.25*12</f>
        <v>61.700205338809042</v>
      </c>
      <c r="FP58" s="14">
        <f>IF(OR(EI58,FC58), 1, 0)</f>
        <v>0</v>
      </c>
      <c r="FQ58" s="11">
        <f>IF(EI58=1,IF(FC58=1,MIN(EK58,FF58),EK58),IF(FC58=1,FF58,DJ58))</f>
        <v>44097</v>
      </c>
      <c r="FR58" s="13">
        <f>(FQ58-$I58)/365.25*12</f>
        <v>61.700205338809042</v>
      </c>
      <c r="FS58" s="1"/>
      <c r="FT58" s="1"/>
      <c r="FU58" s="1">
        <v>0</v>
      </c>
      <c r="FV58" s="1">
        <v>0</v>
      </c>
      <c r="FW58" s="1">
        <v>0</v>
      </c>
      <c r="FX58" s="1">
        <v>0</v>
      </c>
      <c r="FY58" s="1"/>
      <c r="FZ58" s="1"/>
    </row>
    <row r="59" spans="1:182" s="17" customFormat="1" ht="12.75" hidden="1" customHeight="1">
      <c r="A59" s="1" t="s">
        <v>1797</v>
      </c>
      <c r="B59" s="15" t="s">
        <v>1796</v>
      </c>
      <c r="C59" s="1">
        <v>47189368</v>
      </c>
      <c r="D59" s="1">
        <v>0</v>
      </c>
      <c r="E59" s="1">
        <v>0</v>
      </c>
      <c r="F59" s="1">
        <v>0</v>
      </c>
      <c r="G59" s="12">
        <v>1</v>
      </c>
      <c r="H59" s="1"/>
      <c r="I59" s="3">
        <v>42243</v>
      </c>
      <c r="J59" s="3">
        <v>42228</v>
      </c>
      <c r="K59" s="3">
        <v>21254</v>
      </c>
      <c r="L59" s="5">
        <f>(DAYS360(K59,I59))/365</f>
        <v>56.676712328767124</v>
      </c>
      <c r="M59" s="1" t="s">
        <v>5</v>
      </c>
      <c r="N59" s="1">
        <v>1</v>
      </c>
      <c r="O59" s="1">
        <v>0</v>
      </c>
      <c r="P59" s="1" t="s">
        <v>161</v>
      </c>
      <c r="Q59" s="1">
        <v>0</v>
      </c>
      <c r="R59" s="1" t="s">
        <v>18</v>
      </c>
      <c r="S59" s="1" t="s">
        <v>1795</v>
      </c>
      <c r="T59" s="1" t="s">
        <v>150</v>
      </c>
      <c r="U59" s="1">
        <v>0</v>
      </c>
      <c r="V59" s="1">
        <v>1</v>
      </c>
      <c r="W59" s="1">
        <v>1</v>
      </c>
      <c r="X59" s="1" t="s">
        <v>1351</v>
      </c>
      <c r="Y59" s="1">
        <v>3</v>
      </c>
      <c r="Z59" s="1">
        <v>2</v>
      </c>
      <c r="AA59" s="1" t="s">
        <v>96</v>
      </c>
      <c r="AB59" s="1"/>
      <c r="AC59" s="1">
        <v>5</v>
      </c>
      <c r="AD59" s="1" t="s">
        <v>1794</v>
      </c>
      <c r="AE59" s="1"/>
      <c r="AF59" s="1">
        <v>1</v>
      </c>
      <c r="AG59" s="1">
        <v>1</v>
      </c>
      <c r="AH59" s="1">
        <v>1</v>
      </c>
      <c r="AI59" s="3">
        <v>42243</v>
      </c>
      <c r="AJ59" s="3">
        <v>42279</v>
      </c>
      <c r="AK59" s="6" t="s">
        <v>1793</v>
      </c>
      <c r="AL59" s="6"/>
      <c r="AM59" s="1">
        <v>1</v>
      </c>
      <c r="AN59" s="1">
        <v>1</v>
      </c>
      <c r="AO59" s="1">
        <v>1</v>
      </c>
      <c r="AP59" s="1">
        <v>0</v>
      </c>
      <c r="AQ59" s="1">
        <v>0</v>
      </c>
      <c r="AR59" s="1">
        <v>0</v>
      </c>
      <c r="AS59" s="12">
        <f>IF(AND(AM59=0,AU59&lt;=2), 1, 0)</f>
        <v>0</v>
      </c>
      <c r="AT59" s="12">
        <v>0</v>
      </c>
      <c r="AU59" s="1">
        <v>0.5</v>
      </c>
      <c r="AV59" s="1">
        <v>0.5</v>
      </c>
      <c r="AW59" s="1"/>
      <c r="AX59" s="6" t="s">
        <v>45</v>
      </c>
      <c r="AY59" s="6" t="s">
        <v>45</v>
      </c>
      <c r="AZ59" s="1">
        <v>0.5</v>
      </c>
      <c r="BA59" s="1">
        <f>17-8.3+0.3</f>
        <v>9</v>
      </c>
      <c r="BB59" s="1">
        <v>580.79999999999995</v>
      </c>
      <c r="BC59" s="1">
        <f>8-2+0.3</f>
        <v>6.3</v>
      </c>
      <c r="BD59" s="1">
        <v>2</v>
      </c>
      <c r="BE59" s="1">
        <v>897.7</v>
      </c>
      <c r="BF59" s="1"/>
      <c r="BG59" s="1">
        <v>45</v>
      </c>
      <c r="BH59" s="1">
        <v>45</v>
      </c>
      <c r="BI59" s="1">
        <v>0</v>
      </c>
      <c r="BJ59" s="1">
        <v>0</v>
      </c>
      <c r="BK59" s="1">
        <f>BH59+BI59</f>
        <v>45</v>
      </c>
      <c r="BL59" s="1">
        <v>25</v>
      </c>
      <c r="BM59" s="1">
        <v>1.8</v>
      </c>
      <c r="BN59" s="1" t="s">
        <v>62</v>
      </c>
      <c r="BO59" s="1">
        <v>1</v>
      </c>
      <c r="BP59" s="1">
        <v>1</v>
      </c>
      <c r="BQ59" s="1">
        <v>1</v>
      </c>
      <c r="BR59" s="3">
        <v>42243</v>
      </c>
      <c r="BS59" s="1" t="s">
        <v>61</v>
      </c>
      <c r="BT59" s="12" t="s">
        <v>60</v>
      </c>
      <c r="BU59" s="1">
        <v>5</v>
      </c>
      <c r="BV59" s="1">
        <v>1</v>
      </c>
      <c r="BW59" s="1">
        <v>14.74</v>
      </c>
      <c r="BX59" s="1">
        <v>0.82299999999999995</v>
      </c>
      <c r="BY59" s="1">
        <v>0.123</v>
      </c>
      <c r="BZ59" s="1">
        <v>11.9</v>
      </c>
      <c r="CA59" s="1">
        <v>282</v>
      </c>
      <c r="CB59" s="1">
        <v>1.43</v>
      </c>
      <c r="CC59" s="1">
        <v>21.9</v>
      </c>
      <c r="CD59" s="1">
        <v>5.2</v>
      </c>
      <c r="CE59" s="1">
        <v>1</v>
      </c>
      <c r="CF59" s="3">
        <v>42325</v>
      </c>
      <c r="CG59" s="7">
        <f>CF59-AJ59</f>
        <v>46</v>
      </c>
      <c r="CH59" s="1" t="s">
        <v>1792</v>
      </c>
      <c r="CI59" s="12" t="s">
        <v>183</v>
      </c>
      <c r="CJ59" s="1" t="s">
        <v>182</v>
      </c>
      <c r="CK59" s="1" t="s">
        <v>1110</v>
      </c>
      <c r="CL59" s="1" t="s">
        <v>1109</v>
      </c>
      <c r="CM59" s="1">
        <v>0</v>
      </c>
      <c r="CN59" s="1"/>
      <c r="CO59" s="1" t="s">
        <v>650</v>
      </c>
      <c r="CP59" s="1"/>
      <c r="CQ59" s="1" t="s">
        <v>1791</v>
      </c>
      <c r="CR59" s="1">
        <v>2.4</v>
      </c>
      <c r="CS59" s="1" t="s">
        <v>1002</v>
      </c>
      <c r="CT59" s="1" t="s">
        <v>511</v>
      </c>
      <c r="CU59" s="1" t="s">
        <v>472</v>
      </c>
      <c r="CV59" s="1">
        <v>1</v>
      </c>
      <c r="CW59" s="1">
        <v>3.2</v>
      </c>
      <c r="CX59" s="1">
        <v>5.6</v>
      </c>
      <c r="CY59" s="1">
        <v>0</v>
      </c>
      <c r="CZ59" s="1">
        <v>1</v>
      </c>
      <c r="DA59" s="1">
        <v>21</v>
      </c>
      <c r="DB59" s="2">
        <f>CZ59/DA59*100</f>
        <v>4.7619047619047619</v>
      </c>
      <c r="DC59" s="1">
        <v>1</v>
      </c>
      <c r="DD59" s="1">
        <v>0</v>
      </c>
      <c r="DE59" s="1">
        <v>1</v>
      </c>
      <c r="DF59" s="1">
        <v>0</v>
      </c>
      <c r="DG59" s="26" t="s">
        <v>1790</v>
      </c>
      <c r="DH59" s="7">
        <v>1</v>
      </c>
      <c r="DI59" s="7">
        <v>0</v>
      </c>
      <c r="DJ59" s="3">
        <v>42447</v>
      </c>
      <c r="DK59" s="1" t="s">
        <v>88</v>
      </c>
      <c r="DL59" s="1">
        <f>(DJ59-I59)/365.25*12</f>
        <v>6.7022587268993838</v>
      </c>
      <c r="DM59" s="1">
        <v>1</v>
      </c>
      <c r="DN59" s="1" t="s">
        <v>1789</v>
      </c>
      <c r="DO59" s="3">
        <v>42411</v>
      </c>
      <c r="DP59" s="6" t="s">
        <v>1788</v>
      </c>
      <c r="DQ59" s="7">
        <v>0</v>
      </c>
      <c r="DR59" s="3" t="s">
        <v>45</v>
      </c>
      <c r="DS59" s="10">
        <f>IF(DQ59=1, (DR59-$I59)/365.25*12, IF(DQ59=0, $DL59, "ERROR"))</f>
        <v>6.7022587268993838</v>
      </c>
      <c r="DT59" s="7">
        <v>1</v>
      </c>
      <c r="DU59" s="7">
        <v>1</v>
      </c>
      <c r="DV59" s="7">
        <v>0</v>
      </c>
      <c r="DW59" s="16">
        <f>DU59*(1-DV59)</f>
        <v>1</v>
      </c>
      <c r="DX59" s="16">
        <f>(1-DU59)*DV59</f>
        <v>0</v>
      </c>
      <c r="DY59" s="16">
        <f>DU59*DV59</f>
        <v>0</v>
      </c>
      <c r="DZ59" s="3">
        <v>42411</v>
      </c>
      <c r="EA59" s="10">
        <f>IF(DT59=1, (DZ59-$I59)/365.25*12, IF(DT59=0, $DL59, "ERROR"))</f>
        <v>5.5195071868583163</v>
      </c>
      <c r="EB59" s="7">
        <v>1</v>
      </c>
      <c r="EC59" s="7">
        <v>0</v>
      </c>
      <c r="ED59" s="16">
        <f>1-((1-DQ59)*(1-DT59))</f>
        <v>1</v>
      </c>
      <c r="EE59" s="11">
        <f>MIN(DR59,DZ59)</f>
        <v>42411</v>
      </c>
      <c r="EF59" s="1" t="s">
        <v>45</v>
      </c>
      <c r="EG59" s="7" t="s">
        <v>45</v>
      </c>
      <c r="EH59" s="1" t="s">
        <v>45</v>
      </c>
      <c r="EI59" s="1">
        <v>1</v>
      </c>
      <c r="EJ59" s="16">
        <f>(1-DQ59)*DX59*(1-EI59)</f>
        <v>0</v>
      </c>
      <c r="EK59" s="3">
        <v>42411</v>
      </c>
      <c r="EL59" s="10">
        <f>IF(EI59=1, (EK59-$I59)/365.25*12, IF(EI59=0, $DL59, "ERROR"))</f>
        <v>5.5195071868583163</v>
      </c>
      <c r="EM59" s="1" t="s">
        <v>1787</v>
      </c>
      <c r="EN59" s="7">
        <v>1</v>
      </c>
      <c r="EO59" s="7">
        <v>0</v>
      </c>
      <c r="EP59" s="7">
        <v>1</v>
      </c>
      <c r="EQ59" s="7">
        <v>1</v>
      </c>
      <c r="ER59" s="7">
        <v>0</v>
      </c>
      <c r="ES59" s="7">
        <v>0</v>
      </c>
      <c r="ET59" s="7">
        <v>0</v>
      </c>
      <c r="EU59" s="7">
        <v>1</v>
      </c>
      <c r="EV59" s="7">
        <v>1</v>
      </c>
      <c r="EW59" s="1">
        <f>1-((1-EP59)*(1-ET59)*(1-EU59)*(1-EV59))</f>
        <v>1</v>
      </c>
      <c r="EX59" s="7">
        <v>0</v>
      </c>
      <c r="EY59" s="7">
        <v>0</v>
      </c>
      <c r="EZ59" s="7">
        <v>0</v>
      </c>
      <c r="FA59" s="7">
        <v>0</v>
      </c>
      <c r="FB59" s="1" t="s">
        <v>45</v>
      </c>
      <c r="FC59" s="1">
        <v>1</v>
      </c>
      <c r="FD59" s="1">
        <v>1</v>
      </c>
      <c r="FE59" s="1"/>
      <c r="FF59" s="3">
        <v>42481</v>
      </c>
      <c r="FG59" s="3">
        <f>IF(FC59=1, FF59, IF(FD59=1, 44348, DJ59))</f>
        <v>42481</v>
      </c>
      <c r="FH59" s="13">
        <f>(FG59-I59)/365.25*12</f>
        <v>7.8193018480492817</v>
      </c>
      <c r="FI59" s="13"/>
      <c r="FJ59" s="14">
        <f>IF(OR(DM59,FC59), 1, 0)</f>
        <v>1</v>
      </c>
      <c r="FK59" s="11">
        <f>IF(DM59=1,IF(FC59=1,MIN(DO59,FF59),DO59),IF(FC59=1,FF59,DJ59))</f>
        <v>42411</v>
      </c>
      <c r="FL59" s="13">
        <f>(FK59-$I59)/365.25*12</f>
        <v>5.5195071868583163</v>
      </c>
      <c r="FM59" s="14">
        <f>IF(OR(ED59,FC59), 1, 0)</f>
        <v>1</v>
      </c>
      <c r="FN59" s="11">
        <f>IF(ED59=1,IF(FC59=1,MIN(EE59,FF59),EE59),IF(FC59=1,FF59,DJ59))</f>
        <v>42411</v>
      </c>
      <c r="FO59" s="13">
        <f>(FN59-$I59)/365.25*12</f>
        <v>5.5195071868583163</v>
      </c>
      <c r="FP59" s="14">
        <f>IF(OR(EI59,FC59), 1, 0)</f>
        <v>1</v>
      </c>
      <c r="FQ59" s="11">
        <f>IF(EI59=1,IF(FC59=1,MIN(EK59,FF59),EK59),IF(FC59=1,FF59,DJ59))</f>
        <v>42411</v>
      </c>
      <c r="FR59" s="13">
        <f>(FQ59-$I59)/365.25*12</f>
        <v>5.5195071868583163</v>
      </c>
      <c r="FS59" s="1"/>
      <c r="FT59" s="1"/>
      <c r="FU59" s="1">
        <v>0</v>
      </c>
      <c r="FV59" s="1">
        <v>0</v>
      </c>
      <c r="FW59" s="1">
        <v>0</v>
      </c>
      <c r="FX59" s="1">
        <v>0</v>
      </c>
      <c r="FY59" s="1" t="s">
        <v>1786</v>
      </c>
      <c r="FZ59" s="1"/>
    </row>
    <row r="60" spans="1:182" s="17" customFormat="1" ht="12.75" hidden="1" customHeight="1">
      <c r="A60" s="1" t="s">
        <v>1785</v>
      </c>
      <c r="B60" s="15" t="s">
        <v>1784</v>
      </c>
      <c r="C60" s="1">
        <v>47481893</v>
      </c>
      <c r="D60" s="1">
        <v>0</v>
      </c>
      <c r="E60" s="1">
        <v>0</v>
      </c>
      <c r="F60" s="1">
        <v>0</v>
      </c>
      <c r="G60" s="12">
        <v>1</v>
      </c>
      <c r="H60" s="1"/>
      <c r="I60" s="3">
        <v>42334</v>
      </c>
      <c r="J60" s="3">
        <v>42317</v>
      </c>
      <c r="K60" s="3">
        <v>24047</v>
      </c>
      <c r="L60" s="5">
        <f>(DAYS360(K60,I60))/365</f>
        <v>49.38356164383562</v>
      </c>
      <c r="M60" s="1" t="s">
        <v>5</v>
      </c>
      <c r="N60" s="1">
        <v>1</v>
      </c>
      <c r="O60" s="1">
        <v>0</v>
      </c>
      <c r="P60" s="1" t="s">
        <v>69</v>
      </c>
      <c r="Q60" s="1">
        <v>1</v>
      </c>
      <c r="R60" s="1" t="s">
        <v>18</v>
      </c>
      <c r="S60" s="1" t="s">
        <v>1783</v>
      </c>
      <c r="T60" s="1" t="s">
        <v>140</v>
      </c>
      <c r="U60" s="1">
        <v>1</v>
      </c>
      <c r="V60" s="1">
        <v>0</v>
      </c>
      <c r="W60" s="1">
        <v>0</v>
      </c>
      <c r="X60" s="1" t="s">
        <v>296</v>
      </c>
      <c r="Y60" s="1">
        <v>2</v>
      </c>
      <c r="Z60" s="1">
        <v>1</v>
      </c>
      <c r="AA60" s="1" t="s">
        <v>65</v>
      </c>
      <c r="AB60" s="1"/>
      <c r="AC60" s="1">
        <v>2</v>
      </c>
      <c r="AD60" s="1" t="s">
        <v>1782</v>
      </c>
      <c r="AE60" s="1" t="s">
        <v>114</v>
      </c>
      <c r="AF60" s="1">
        <v>0</v>
      </c>
      <c r="AG60" s="1">
        <v>0</v>
      </c>
      <c r="AH60" s="1">
        <v>0</v>
      </c>
      <c r="AI60" s="3">
        <v>42334</v>
      </c>
      <c r="AJ60" s="3">
        <v>42369</v>
      </c>
      <c r="AK60" s="6" t="s">
        <v>1781</v>
      </c>
      <c r="AL60" s="6"/>
      <c r="AM60" s="1">
        <v>1</v>
      </c>
      <c r="AN60" s="1">
        <v>0</v>
      </c>
      <c r="AO60" s="1">
        <v>1</v>
      </c>
      <c r="AP60" s="1">
        <v>0</v>
      </c>
      <c r="AQ60" s="1">
        <v>0</v>
      </c>
      <c r="AR60" s="1">
        <v>0</v>
      </c>
      <c r="AS60" s="12">
        <f>IF(AND(AM60=0,AU60&lt;=2), 1, 0)</f>
        <v>0</v>
      </c>
      <c r="AT60" s="12">
        <v>0</v>
      </c>
      <c r="AU60" s="1">
        <v>2</v>
      </c>
      <c r="AV60" s="1">
        <v>0.5</v>
      </c>
      <c r="AW60" s="1"/>
      <c r="AX60" s="6" t="s">
        <v>45</v>
      </c>
      <c r="AY60" s="6" t="s">
        <v>45</v>
      </c>
      <c r="AZ60" s="6" t="s">
        <v>111</v>
      </c>
      <c r="BA60" s="1">
        <v>5</v>
      </c>
      <c r="BB60" s="1">
        <v>185.5</v>
      </c>
      <c r="BC60" s="1">
        <v>2.5</v>
      </c>
      <c r="BD60" s="1">
        <v>2</v>
      </c>
      <c r="BE60" s="1">
        <v>442.4</v>
      </c>
      <c r="BF60" s="1"/>
      <c r="BG60" s="1">
        <v>45</v>
      </c>
      <c r="BH60" s="1">
        <v>45</v>
      </c>
      <c r="BI60" s="1">
        <v>0</v>
      </c>
      <c r="BJ60" s="1">
        <v>0</v>
      </c>
      <c r="BK60" s="1">
        <f>BH60+BI60</f>
        <v>45</v>
      </c>
      <c r="BL60" s="1">
        <v>25</v>
      </c>
      <c r="BM60" s="1">
        <v>1.8</v>
      </c>
      <c r="BN60" s="1" t="s">
        <v>110</v>
      </c>
      <c r="BO60" s="1">
        <v>0</v>
      </c>
      <c r="BP60" s="1">
        <v>1</v>
      </c>
      <c r="BQ60" s="1">
        <v>1</v>
      </c>
      <c r="BR60" s="3">
        <v>42334</v>
      </c>
      <c r="BS60" s="1" t="s">
        <v>61</v>
      </c>
      <c r="BT60" s="12" t="s">
        <v>60</v>
      </c>
      <c r="BU60" s="1">
        <v>5</v>
      </c>
      <c r="BV60" s="1">
        <v>1</v>
      </c>
      <c r="BW60" s="1">
        <v>7.29</v>
      </c>
      <c r="BX60" s="1">
        <v>0.57599999999999996</v>
      </c>
      <c r="BY60" s="1">
        <v>0.248</v>
      </c>
      <c r="BZ60" s="1">
        <v>12.2</v>
      </c>
      <c r="CA60" s="1">
        <v>288</v>
      </c>
      <c r="CB60" s="1">
        <v>1.76</v>
      </c>
      <c r="CC60" s="1">
        <v>21.5</v>
      </c>
      <c r="CD60" s="1">
        <v>5.2</v>
      </c>
      <c r="CE60" s="1">
        <v>1</v>
      </c>
      <c r="CF60" s="3">
        <v>42411</v>
      </c>
      <c r="CG60" s="7">
        <f>CF60-AJ60</f>
        <v>42</v>
      </c>
      <c r="CH60" s="1" t="s">
        <v>1780</v>
      </c>
      <c r="CI60" s="12" t="s">
        <v>183</v>
      </c>
      <c r="CJ60" s="1" t="s">
        <v>182</v>
      </c>
      <c r="CK60" s="1" t="s">
        <v>1110</v>
      </c>
      <c r="CL60" s="1" t="s">
        <v>1109</v>
      </c>
      <c r="CM60" s="1">
        <v>0</v>
      </c>
      <c r="CN60" s="1"/>
      <c r="CO60" s="1" t="s">
        <v>650</v>
      </c>
      <c r="CP60" s="1"/>
      <c r="CQ60" s="1" t="s">
        <v>1779</v>
      </c>
      <c r="CR60" s="1">
        <v>2.8</v>
      </c>
      <c r="CS60" s="1" t="s">
        <v>1014</v>
      </c>
      <c r="CT60" s="1" t="s">
        <v>511</v>
      </c>
      <c r="CU60" s="1" t="s">
        <v>454</v>
      </c>
      <c r="CV60" s="1">
        <v>0</v>
      </c>
      <c r="CW60" s="1">
        <v>1.1000000000000001</v>
      </c>
      <c r="CX60" s="1">
        <v>18.899999999999999</v>
      </c>
      <c r="CY60" s="1">
        <v>0.1</v>
      </c>
      <c r="CZ60" s="1">
        <v>2</v>
      </c>
      <c r="DA60" s="1">
        <v>68</v>
      </c>
      <c r="DB60" s="2">
        <f>CZ60/DA60*100</f>
        <v>2.9411764705882351</v>
      </c>
      <c r="DC60" s="1">
        <v>0</v>
      </c>
      <c r="DD60" s="1">
        <v>1</v>
      </c>
      <c r="DE60" s="1">
        <v>1</v>
      </c>
      <c r="DF60" s="1">
        <v>0</v>
      </c>
      <c r="DG60" s="26" t="s">
        <v>1778</v>
      </c>
      <c r="DH60" s="7">
        <v>0</v>
      </c>
      <c r="DI60" s="7">
        <v>1</v>
      </c>
      <c r="DJ60" s="3">
        <v>42863</v>
      </c>
      <c r="DK60" s="1" t="s">
        <v>1777</v>
      </c>
      <c r="DL60" s="1">
        <f>(DJ60-I60)/365.25*12</f>
        <v>17.37987679671458</v>
      </c>
      <c r="DM60" s="1">
        <v>1</v>
      </c>
      <c r="DN60" s="1" t="s">
        <v>1776</v>
      </c>
      <c r="DO60" s="3">
        <v>42661</v>
      </c>
      <c r="DP60" s="6" t="s">
        <v>1775</v>
      </c>
      <c r="DQ60" s="7">
        <v>0</v>
      </c>
      <c r="DR60" s="3" t="s">
        <v>45</v>
      </c>
      <c r="DS60" s="10">
        <f>IF(DQ60=1, (DR60-$I60)/365.25*12, IF(DQ60=0, $DL60, "ERROR"))</f>
        <v>17.37987679671458</v>
      </c>
      <c r="DT60" s="7">
        <v>1</v>
      </c>
      <c r="DU60" s="7">
        <v>1</v>
      </c>
      <c r="DV60" s="7">
        <v>1</v>
      </c>
      <c r="DW60" s="16">
        <f>DU60*(1-DV60)</f>
        <v>0</v>
      </c>
      <c r="DX60" s="16">
        <f>(1-DU60)*DV60</f>
        <v>0</v>
      </c>
      <c r="DY60" s="16">
        <f>DU60*DV60</f>
        <v>1</v>
      </c>
      <c r="DZ60" s="3">
        <v>42661</v>
      </c>
      <c r="EA60" s="10">
        <f>IF(DT60=1, (DZ60-$I60)/365.25*12, IF(DT60=0, $DL60, "ERROR"))</f>
        <v>10.743326488706366</v>
      </c>
      <c r="EB60" s="7">
        <v>1</v>
      </c>
      <c r="EC60" s="7">
        <v>0</v>
      </c>
      <c r="ED60" s="16">
        <f>1-((1-DQ60)*(1-DT60))</f>
        <v>1</v>
      </c>
      <c r="EE60" s="11">
        <f>MIN(DR60,DZ60)</f>
        <v>42661</v>
      </c>
      <c r="EF60" s="1" t="s">
        <v>1774</v>
      </c>
      <c r="EG60" s="7">
        <v>1</v>
      </c>
      <c r="EH60" s="1" t="s">
        <v>1773</v>
      </c>
      <c r="EI60" s="1">
        <v>1</v>
      </c>
      <c r="EJ60" s="16">
        <f>(1-DQ60)*DX60*(1-EI60)</f>
        <v>0</v>
      </c>
      <c r="EK60" s="3">
        <v>42661</v>
      </c>
      <c r="EL60" s="10">
        <f>IF(EI60=1, (EK60-$I60)/365.25*12, IF(EI60=0, $DL60, "ERROR"))</f>
        <v>10.743326488706366</v>
      </c>
      <c r="EM60" s="1" t="s">
        <v>1772</v>
      </c>
      <c r="EN60" s="7">
        <v>1</v>
      </c>
      <c r="EO60" s="7">
        <v>0</v>
      </c>
      <c r="EP60" s="7">
        <v>0</v>
      </c>
      <c r="EQ60" s="7">
        <v>0</v>
      </c>
      <c r="ER60" s="7">
        <v>1</v>
      </c>
      <c r="ES60" s="7">
        <v>0</v>
      </c>
      <c r="ET60" s="7">
        <v>0</v>
      </c>
      <c r="EU60" s="7">
        <v>0</v>
      </c>
      <c r="EV60" s="7">
        <v>0</v>
      </c>
      <c r="EW60" s="1">
        <f>1-((1-EP60)*(1-ET60)*(1-EU60)*(1-EV60))</f>
        <v>0</v>
      </c>
      <c r="EX60" s="7">
        <v>0</v>
      </c>
      <c r="EY60" s="7">
        <v>0</v>
      </c>
      <c r="EZ60" s="7">
        <v>0</v>
      </c>
      <c r="FA60" s="7">
        <v>0</v>
      </c>
      <c r="FB60" s="1" t="s">
        <v>45</v>
      </c>
      <c r="FC60" s="1">
        <v>1</v>
      </c>
      <c r="FD60" s="1">
        <v>1</v>
      </c>
      <c r="FE60" s="1"/>
      <c r="FF60" s="3">
        <v>43018</v>
      </c>
      <c r="FG60" s="3">
        <f>IF(FC60=1, FF60, IF(FD60=1, 44348, DJ60))</f>
        <v>43018</v>
      </c>
      <c r="FH60" s="13">
        <f>(FG60-I60)/365.25*12</f>
        <v>22.472279260780287</v>
      </c>
      <c r="FI60" s="13"/>
      <c r="FJ60" s="14">
        <f>IF(OR(DM60,FC60), 1, 0)</f>
        <v>1</v>
      </c>
      <c r="FK60" s="11">
        <f>IF(DM60=1,IF(FC60=1,MIN(DO60,FF60),DO60),IF(FC60=1,FF60,DJ60))</f>
        <v>42661</v>
      </c>
      <c r="FL60" s="13">
        <f>(FK60-$I60)/365.25*12</f>
        <v>10.743326488706366</v>
      </c>
      <c r="FM60" s="14">
        <f>IF(OR(ED60,FC60), 1, 0)</f>
        <v>1</v>
      </c>
      <c r="FN60" s="11">
        <f>IF(ED60=1,IF(FC60=1,MIN(EE60,FF60),EE60),IF(FC60=1,FF60,DJ60))</f>
        <v>42661</v>
      </c>
      <c r="FO60" s="13">
        <f>(FN60-$I60)/365.25*12</f>
        <v>10.743326488706366</v>
      </c>
      <c r="FP60" s="14">
        <f>IF(OR(EI60,FC60), 1, 0)</f>
        <v>1</v>
      </c>
      <c r="FQ60" s="11">
        <f>IF(EI60=1,IF(FC60=1,MIN(EK60,FF60),EK60),IF(FC60=1,FF60,DJ60))</f>
        <v>42661</v>
      </c>
      <c r="FR60" s="13">
        <f>(FQ60-$I60)/365.25*12</f>
        <v>10.743326488706366</v>
      </c>
      <c r="FS60" s="1"/>
      <c r="FT60" s="1"/>
      <c r="FU60" s="1">
        <v>0</v>
      </c>
      <c r="FV60" s="1">
        <v>0</v>
      </c>
      <c r="FW60" s="1">
        <v>0</v>
      </c>
      <c r="FX60" s="1">
        <v>0</v>
      </c>
      <c r="FY60" s="1"/>
      <c r="FZ60" s="1"/>
    </row>
    <row r="61" spans="1:182" s="17" customFormat="1" ht="12.75" hidden="1" customHeight="1">
      <c r="A61" s="1" t="s">
        <v>1771</v>
      </c>
      <c r="B61" s="1" t="s">
        <v>1770</v>
      </c>
      <c r="C61" s="1">
        <v>48836357</v>
      </c>
      <c r="D61" s="1">
        <v>1</v>
      </c>
      <c r="E61" s="1">
        <v>0</v>
      </c>
      <c r="F61" s="1">
        <v>0</v>
      </c>
      <c r="G61" s="1">
        <v>1</v>
      </c>
      <c r="H61" s="1"/>
      <c r="I61" s="3">
        <v>43924</v>
      </c>
      <c r="J61" s="3">
        <v>43906</v>
      </c>
      <c r="K61" s="3">
        <v>20147</v>
      </c>
      <c r="L61" s="5">
        <f>(DAYS360(K61,I61))/365</f>
        <v>64.208219178082189</v>
      </c>
      <c r="M61" s="1" t="s">
        <v>5</v>
      </c>
      <c r="N61" s="1">
        <v>1</v>
      </c>
      <c r="O61" s="1">
        <v>0</v>
      </c>
      <c r="P61" s="1" t="s">
        <v>45</v>
      </c>
      <c r="Q61" s="1" t="s">
        <v>45</v>
      </c>
      <c r="R61" s="1" t="s">
        <v>18</v>
      </c>
      <c r="S61" s="1" t="s">
        <v>1769</v>
      </c>
      <c r="T61" s="1" t="s">
        <v>150</v>
      </c>
      <c r="U61" s="1">
        <v>0</v>
      </c>
      <c r="V61" s="1">
        <v>1</v>
      </c>
      <c r="W61" s="1">
        <v>1</v>
      </c>
      <c r="X61" s="1" t="s">
        <v>243</v>
      </c>
      <c r="Y61" s="1">
        <v>3</v>
      </c>
      <c r="Z61" s="1">
        <v>1</v>
      </c>
      <c r="AA61" s="1" t="s">
        <v>96</v>
      </c>
      <c r="AB61" s="1"/>
      <c r="AC61" s="1">
        <v>5</v>
      </c>
      <c r="AD61" s="1" t="s">
        <v>1768</v>
      </c>
      <c r="AE61" s="1" t="s">
        <v>94</v>
      </c>
      <c r="AF61" s="1">
        <v>1</v>
      </c>
      <c r="AG61" s="1">
        <v>1</v>
      </c>
      <c r="AH61" s="1">
        <v>1</v>
      </c>
      <c r="AI61" s="3">
        <v>43924</v>
      </c>
      <c r="AJ61" s="3">
        <v>43959</v>
      </c>
      <c r="AK61" s="6"/>
      <c r="AL61" s="6"/>
      <c r="AM61" s="6"/>
      <c r="AN61" s="6"/>
      <c r="AO61" s="6"/>
      <c r="AP61" s="6"/>
      <c r="AQ61" s="6"/>
      <c r="AR61" s="6"/>
      <c r="AS61" s="6"/>
      <c r="AT61" s="6"/>
      <c r="AU61" s="6"/>
      <c r="AV61" s="6"/>
      <c r="AW61" s="6"/>
      <c r="AX61" s="6"/>
      <c r="AY61" s="6"/>
      <c r="AZ61" s="6"/>
      <c r="BA61" s="1"/>
      <c r="BB61" s="1"/>
      <c r="BC61" s="1"/>
      <c r="BD61" s="1"/>
      <c r="BE61" s="1"/>
      <c r="BF61" s="1"/>
      <c r="BG61" s="1">
        <v>44</v>
      </c>
      <c r="BH61" s="1">
        <v>22</v>
      </c>
      <c r="BI61" s="1">
        <v>0</v>
      </c>
      <c r="BJ61" s="1">
        <v>0</v>
      </c>
      <c r="BK61" s="1">
        <v>44</v>
      </c>
      <c r="BL61" s="1">
        <v>22</v>
      </c>
      <c r="BM61" s="1">
        <v>2</v>
      </c>
      <c r="BN61" s="1" t="s">
        <v>913</v>
      </c>
      <c r="BO61" s="1">
        <v>1</v>
      </c>
      <c r="BP61" s="1">
        <v>1</v>
      </c>
      <c r="BQ61" s="1">
        <v>1</v>
      </c>
      <c r="BR61" s="3">
        <v>43924</v>
      </c>
      <c r="BS61" s="1" t="s">
        <v>91</v>
      </c>
      <c r="BT61" s="12" t="s">
        <v>90</v>
      </c>
      <c r="BU61" s="1">
        <v>2</v>
      </c>
      <c r="BV61" s="1">
        <v>1</v>
      </c>
      <c r="BW61" s="1"/>
      <c r="BX61" s="1"/>
      <c r="BY61" s="1"/>
      <c r="BZ61" s="1"/>
      <c r="CA61" s="1"/>
      <c r="CB61" s="1"/>
      <c r="CC61" s="1"/>
      <c r="CD61" s="1"/>
      <c r="CE61" s="1">
        <v>1</v>
      </c>
      <c r="CF61" s="3">
        <v>43991</v>
      </c>
      <c r="CG61" s="7">
        <f>CF61-AJ61</f>
        <v>32</v>
      </c>
      <c r="CH61" s="1" t="s">
        <v>1767</v>
      </c>
      <c r="CI61" s="1" t="s">
        <v>183</v>
      </c>
      <c r="CJ61" s="1" t="s">
        <v>182</v>
      </c>
      <c r="CK61" s="1" t="s">
        <v>980</v>
      </c>
      <c r="CL61" s="1"/>
      <c r="CM61" s="1">
        <v>0</v>
      </c>
      <c r="CN61" s="1"/>
      <c r="CO61" s="1" t="s">
        <v>928</v>
      </c>
      <c r="CP61" s="1"/>
      <c r="CQ61" s="1" t="s">
        <v>1766</v>
      </c>
      <c r="CR61" s="1">
        <v>2.4</v>
      </c>
      <c r="CS61" s="1" t="s">
        <v>750</v>
      </c>
      <c r="CT61" s="1" t="s">
        <v>511</v>
      </c>
      <c r="CU61" s="1" t="s">
        <v>472</v>
      </c>
      <c r="CV61" s="1">
        <v>0</v>
      </c>
      <c r="CW61" s="1">
        <v>7.4</v>
      </c>
      <c r="CX61" s="1">
        <v>7.8</v>
      </c>
      <c r="CY61" s="1">
        <v>0.08</v>
      </c>
      <c r="CZ61" s="1">
        <v>0</v>
      </c>
      <c r="DA61" s="1">
        <v>77</v>
      </c>
      <c r="DB61" s="2">
        <f>CZ61/DA61*100</f>
        <v>0</v>
      </c>
      <c r="DC61" s="1">
        <v>0</v>
      </c>
      <c r="DD61" s="1">
        <v>0</v>
      </c>
      <c r="DE61" s="1">
        <v>0</v>
      </c>
      <c r="DF61" s="1">
        <v>0</v>
      </c>
      <c r="DG61" s="26" t="s">
        <v>1765</v>
      </c>
      <c r="DH61" s="7">
        <v>0</v>
      </c>
      <c r="DI61" s="7">
        <v>0</v>
      </c>
      <c r="DJ61" s="3"/>
      <c r="DK61" s="1"/>
      <c r="DL61" s="1"/>
      <c r="DM61" s="1"/>
      <c r="DN61" s="1"/>
      <c r="DO61" s="1"/>
      <c r="DP61" s="6"/>
      <c r="DQ61" s="7"/>
      <c r="DR61" s="3"/>
      <c r="DS61" s="8"/>
      <c r="DT61" s="7"/>
      <c r="DU61" s="7"/>
      <c r="DV61" s="7"/>
      <c r="DW61" s="7"/>
      <c r="DX61" s="7"/>
      <c r="DY61" s="7"/>
      <c r="DZ61" s="3"/>
      <c r="EA61" s="3"/>
      <c r="EB61" s="7"/>
      <c r="EC61" s="7"/>
      <c r="ED61" s="7"/>
      <c r="EE61" s="3"/>
      <c r="EF61" s="1"/>
      <c r="EG61" s="7"/>
      <c r="EH61" s="1"/>
      <c r="EI61" s="1"/>
      <c r="EJ61" s="7"/>
      <c r="EK61" s="1"/>
      <c r="EL61" s="1"/>
      <c r="EM61" s="1"/>
      <c r="EN61" s="7"/>
      <c r="EO61" s="7"/>
      <c r="EP61" s="7"/>
      <c r="EQ61" s="7"/>
      <c r="ER61" s="7"/>
      <c r="ES61" s="7"/>
      <c r="ET61" s="7"/>
      <c r="EU61" s="7"/>
      <c r="EV61" s="7"/>
      <c r="EW61" s="7"/>
      <c r="EX61" s="7"/>
      <c r="EY61" s="7"/>
      <c r="EZ61" s="7"/>
      <c r="FA61" s="7"/>
      <c r="FB61" s="1"/>
      <c r="FC61" s="6"/>
      <c r="FD61" s="1"/>
      <c r="FE61" s="1"/>
      <c r="FF61" s="1"/>
      <c r="FG61" s="1"/>
      <c r="FH61" s="2"/>
      <c r="FI61" s="2"/>
      <c r="FJ61" s="4"/>
      <c r="FK61" s="3"/>
      <c r="FL61" s="2"/>
      <c r="FM61" s="2"/>
      <c r="FN61" s="3"/>
      <c r="FO61" s="2"/>
      <c r="FP61" s="2"/>
      <c r="FQ61" s="2"/>
      <c r="FR61" s="2"/>
      <c r="FS61" s="1"/>
      <c r="FT61" s="1"/>
      <c r="FU61" s="1"/>
      <c r="FV61" s="1"/>
      <c r="FW61" s="1"/>
      <c r="FX61" s="1"/>
      <c r="FY61" s="1"/>
      <c r="FZ61" s="1"/>
    </row>
    <row r="62" spans="1:182" s="17" customFormat="1" ht="12.75" hidden="1" customHeight="1">
      <c r="A62" s="1" t="s">
        <v>1764</v>
      </c>
      <c r="B62" s="1" t="s">
        <v>1763</v>
      </c>
      <c r="C62" s="1">
        <v>49293939</v>
      </c>
      <c r="D62" s="1">
        <v>1</v>
      </c>
      <c r="E62" s="1">
        <v>0</v>
      </c>
      <c r="F62" s="1">
        <v>0</v>
      </c>
      <c r="G62" s="1">
        <v>1</v>
      </c>
      <c r="H62" s="1"/>
      <c r="I62" s="3">
        <v>44088</v>
      </c>
      <c r="J62" s="3">
        <v>44063</v>
      </c>
      <c r="K62" s="3">
        <v>20668</v>
      </c>
      <c r="L62" s="5">
        <f>(DAYS360(K62,I62))/365</f>
        <v>63.241095890410961</v>
      </c>
      <c r="M62" s="1" t="s">
        <v>1</v>
      </c>
      <c r="N62" s="1">
        <v>1</v>
      </c>
      <c r="O62" s="1">
        <v>0</v>
      </c>
      <c r="P62" s="1" t="s">
        <v>45</v>
      </c>
      <c r="Q62" s="1" t="s">
        <v>45</v>
      </c>
      <c r="R62" s="1" t="s">
        <v>18</v>
      </c>
      <c r="S62" s="1" t="s">
        <v>1076</v>
      </c>
      <c r="T62" s="1" t="s">
        <v>67</v>
      </c>
      <c r="U62" s="1">
        <v>0</v>
      </c>
      <c r="V62" s="1">
        <v>0</v>
      </c>
      <c r="W62" s="1">
        <v>1</v>
      </c>
      <c r="X62" s="1" t="s">
        <v>117</v>
      </c>
      <c r="Y62" s="1">
        <v>3</v>
      </c>
      <c r="Z62" s="1">
        <v>1</v>
      </c>
      <c r="AA62" s="1" t="s">
        <v>116</v>
      </c>
      <c r="AB62" s="1"/>
      <c r="AC62" s="1">
        <v>3</v>
      </c>
      <c r="AD62" s="1" t="s">
        <v>1762</v>
      </c>
      <c r="AE62" s="1" t="s">
        <v>125</v>
      </c>
      <c r="AF62" s="1">
        <v>0</v>
      </c>
      <c r="AG62" s="1">
        <v>0</v>
      </c>
      <c r="AH62" s="1">
        <v>0</v>
      </c>
      <c r="AI62" s="3">
        <v>44088</v>
      </c>
      <c r="AJ62" s="3">
        <v>44125</v>
      </c>
      <c r="AK62" s="6"/>
      <c r="AL62" s="6"/>
      <c r="AM62" s="6"/>
      <c r="AN62" s="6"/>
      <c r="AO62" s="6"/>
      <c r="AP62" s="6"/>
      <c r="AQ62" s="6"/>
      <c r="AR62" s="6"/>
      <c r="AS62" s="6"/>
      <c r="AT62" s="6"/>
      <c r="AU62" s="6"/>
      <c r="AV62" s="6"/>
      <c r="AW62" s="6"/>
      <c r="AX62" s="6"/>
      <c r="AY62" s="6"/>
      <c r="AZ62" s="6"/>
      <c r="BA62" s="1"/>
      <c r="BB62" s="1"/>
      <c r="BC62" s="1"/>
      <c r="BD62" s="1"/>
      <c r="BE62" s="1"/>
      <c r="BF62" s="1"/>
      <c r="BG62" s="1">
        <v>44</v>
      </c>
      <c r="BH62" s="1">
        <v>22</v>
      </c>
      <c r="BI62" s="1">
        <v>0</v>
      </c>
      <c r="BJ62" s="1">
        <v>0</v>
      </c>
      <c r="BK62" s="1">
        <v>44</v>
      </c>
      <c r="BL62" s="1">
        <v>22</v>
      </c>
      <c r="BM62" s="1">
        <v>2</v>
      </c>
      <c r="BN62" s="1" t="s">
        <v>62</v>
      </c>
      <c r="BO62" s="1">
        <v>1</v>
      </c>
      <c r="BP62" s="1">
        <v>1</v>
      </c>
      <c r="BQ62" s="1">
        <v>1</v>
      </c>
      <c r="BR62" s="3">
        <v>44088</v>
      </c>
      <c r="BS62" s="1" t="s">
        <v>91</v>
      </c>
      <c r="BT62" s="12" t="s">
        <v>90</v>
      </c>
      <c r="BU62" s="1">
        <v>2</v>
      </c>
      <c r="BV62" s="1">
        <v>1</v>
      </c>
      <c r="BW62" s="1"/>
      <c r="BX62" s="1"/>
      <c r="BY62" s="1"/>
      <c r="BZ62" s="1"/>
      <c r="CA62" s="1"/>
      <c r="CB62" s="1"/>
      <c r="CC62" s="1"/>
      <c r="CD62" s="1"/>
      <c r="CE62" s="1">
        <v>1</v>
      </c>
      <c r="CF62" s="3">
        <v>44159</v>
      </c>
      <c r="CG62" s="7">
        <f>CF62-AJ62</f>
        <v>34</v>
      </c>
      <c r="CH62" s="1" t="s">
        <v>1761</v>
      </c>
      <c r="CI62" s="17" t="s">
        <v>460</v>
      </c>
      <c r="CJ62" s="1" t="s">
        <v>606</v>
      </c>
      <c r="CK62" s="1" t="s">
        <v>702</v>
      </c>
      <c r="CL62" s="1"/>
      <c r="CM62" s="1">
        <v>0</v>
      </c>
      <c r="CN62" s="1"/>
      <c r="CO62" s="1" t="s">
        <v>752</v>
      </c>
      <c r="CP62" s="1"/>
      <c r="CQ62" s="1" t="s">
        <v>1760</v>
      </c>
      <c r="CR62" s="1">
        <v>0.8</v>
      </c>
      <c r="CS62" s="1" t="s">
        <v>742</v>
      </c>
      <c r="CT62" s="1" t="s">
        <v>511</v>
      </c>
      <c r="CU62" s="1" t="s">
        <v>1759</v>
      </c>
      <c r="CV62" s="1">
        <v>0</v>
      </c>
      <c r="CW62" s="1">
        <v>9.6</v>
      </c>
      <c r="CX62" s="1">
        <v>4.3</v>
      </c>
      <c r="CY62" s="1">
        <v>0.2</v>
      </c>
      <c r="CZ62" s="1">
        <v>0</v>
      </c>
      <c r="DA62" s="1">
        <v>67</v>
      </c>
      <c r="DB62" s="2">
        <f>CZ62/DA62*100</f>
        <v>0</v>
      </c>
      <c r="DC62" s="1">
        <v>0</v>
      </c>
      <c r="DD62" s="1">
        <v>0</v>
      </c>
      <c r="DE62" s="1">
        <v>0</v>
      </c>
      <c r="DF62" s="1">
        <v>0</v>
      </c>
      <c r="DG62" s="26" t="s">
        <v>1758</v>
      </c>
      <c r="DH62" s="7">
        <v>0</v>
      </c>
      <c r="DI62" s="7">
        <v>0</v>
      </c>
      <c r="DJ62" s="3"/>
      <c r="DK62" s="1"/>
      <c r="DL62" s="1"/>
      <c r="DM62" s="1"/>
      <c r="DN62" s="1"/>
      <c r="DO62" s="1"/>
      <c r="DP62" s="6"/>
      <c r="DQ62" s="7"/>
      <c r="DR62" s="3"/>
      <c r="DS62" s="8"/>
      <c r="DT62" s="7"/>
      <c r="DU62" s="7"/>
      <c r="DV62" s="7"/>
      <c r="DW62" s="7"/>
      <c r="DX62" s="7"/>
      <c r="DY62" s="7"/>
      <c r="DZ62" s="3"/>
      <c r="EA62" s="3"/>
      <c r="EB62" s="7"/>
      <c r="EC62" s="7"/>
      <c r="ED62" s="7"/>
      <c r="EE62" s="3"/>
      <c r="EF62" s="1"/>
      <c r="EG62" s="7"/>
      <c r="EH62" s="1"/>
      <c r="EI62" s="1"/>
      <c r="EJ62" s="7"/>
      <c r="EK62" s="1"/>
      <c r="EL62" s="1"/>
      <c r="EM62" s="1"/>
      <c r="EN62" s="7"/>
      <c r="EO62" s="7"/>
      <c r="EP62" s="7"/>
      <c r="EQ62" s="7"/>
      <c r="ER62" s="7"/>
      <c r="ES62" s="7"/>
      <c r="ET62" s="7"/>
      <c r="EU62" s="7"/>
      <c r="EV62" s="7"/>
      <c r="EW62" s="7"/>
      <c r="EX62" s="7"/>
      <c r="EY62" s="7"/>
      <c r="EZ62" s="7"/>
      <c r="FA62" s="7"/>
      <c r="FB62" s="1"/>
      <c r="FC62" s="6"/>
      <c r="FD62" s="1"/>
      <c r="FE62" s="1"/>
      <c r="FF62" s="1"/>
      <c r="FG62" s="1"/>
      <c r="FH62" s="2"/>
      <c r="FI62" s="2"/>
      <c r="FJ62" s="4"/>
      <c r="FK62" s="3"/>
      <c r="FL62" s="2"/>
      <c r="FM62" s="2"/>
      <c r="FN62" s="3"/>
      <c r="FO62" s="2"/>
      <c r="FP62" s="2"/>
      <c r="FQ62" s="2"/>
      <c r="FR62" s="2"/>
      <c r="FS62" s="1"/>
      <c r="FT62" s="1"/>
      <c r="FU62" s="1"/>
      <c r="FV62" s="1"/>
      <c r="FW62" s="1"/>
      <c r="FX62" s="1"/>
      <c r="FY62" s="1"/>
      <c r="FZ62" s="1"/>
    </row>
    <row r="63" spans="1:182" s="17" customFormat="1" ht="12.75" hidden="1" customHeight="1">
      <c r="A63" s="1" t="s">
        <v>1757</v>
      </c>
      <c r="B63" s="1" t="s">
        <v>1756</v>
      </c>
      <c r="C63" s="1">
        <v>55039938</v>
      </c>
      <c r="D63" s="1">
        <v>1</v>
      </c>
      <c r="E63" s="1">
        <v>0</v>
      </c>
      <c r="F63" s="1">
        <v>0</v>
      </c>
      <c r="G63" s="1">
        <v>1</v>
      </c>
      <c r="H63" s="1" t="s">
        <v>1755</v>
      </c>
      <c r="I63" s="3">
        <v>44306</v>
      </c>
      <c r="J63" s="3">
        <v>44293</v>
      </c>
      <c r="K63" s="3">
        <v>20881</v>
      </c>
      <c r="L63" s="5">
        <f>(DAYS360(K63,I63))/365</f>
        <v>63.254794520547946</v>
      </c>
      <c r="M63" s="1" t="s">
        <v>5</v>
      </c>
      <c r="N63" s="1">
        <v>1</v>
      </c>
      <c r="O63" s="1">
        <v>0</v>
      </c>
      <c r="P63" s="1" t="s">
        <v>45</v>
      </c>
      <c r="Q63" s="1" t="s">
        <v>45</v>
      </c>
      <c r="R63" s="1" t="s">
        <v>18</v>
      </c>
      <c r="S63" s="1" t="s">
        <v>1192</v>
      </c>
      <c r="T63" s="1" t="s">
        <v>140</v>
      </c>
      <c r="U63" s="1">
        <v>1</v>
      </c>
      <c r="V63" s="1">
        <v>0</v>
      </c>
      <c r="W63" s="1">
        <v>0</v>
      </c>
      <c r="X63" s="1" t="s">
        <v>243</v>
      </c>
      <c r="Y63" s="1">
        <v>3</v>
      </c>
      <c r="Z63" s="1">
        <v>1</v>
      </c>
      <c r="AA63" s="1" t="s">
        <v>96</v>
      </c>
      <c r="AB63" s="1"/>
      <c r="AC63" s="1">
        <v>5</v>
      </c>
      <c r="AD63" s="1" t="s">
        <v>1754</v>
      </c>
      <c r="AE63" s="1" t="s">
        <v>94</v>
      </c>
      <c r="AF63" s="1">
        <v>1</v>
      </c>
      <c r="AG63" s="1">
        <v>1</v>
      </c>
      <c r="AH63" s="1">
        <v>0</v>
      </c>
      <c r="AI63" s="3">
        <v>44306</v>
      </c>
      <c r="AJ63" s="3">
        <v>44337</v>
      </c>
      <c r="AK63" s="6"/>
      <c r="AL63" s="6"/>
      <c r="AM63" s="6"/>
      <c r="AN63" s="6"/>
      <c r="AO63" s="6"/>
      <c r="AP63" s="6"/>
      <c r="AQ63" s="6"/>
      <c r="AR63" s="6"/>
      <c r="AS63" s="6"/>
      <c r="AT63" s="6"/>
      <c r="AU63" s="6"/>
      <c r="AV63" s="6"/>
      <c r="AW63" s="6"/>
      <c r="AX63" s="6"/>
      <c r="AY63" s="6"/>
      <c r="AZ63" s="6"/>
      <c r="BA63" s="1"/>
      <c r="BB63" s="1"/>
      <c r="BC63" s="1"/>
      <c r="BD63" s="1"/>
      <c r="BE63" s="1"/>
      <c r="BF63" s="1"/>
      <c r="BG63" s="1">
        <v>44</v>
      </c>
      <c r="BH63" s="1">
        <v>22</v>
      </c>
      <c r="BI63" s="1">
        <v>0</v>
      </c>
      <c r="BJ63" s="1">
        <v>0</v>
      </c>
      <c r="BK63" s="1">
        <v>44</v>
      </c>
      <c r="BL63" s="1">
        <v>22</v>
      </c>
      <c r="BM63" s="1">
        <v>2</v>
      </c>
      <c r="BN63" s="1" t="s">
        <v>62</v>
      </c>
      <c r="BO63" s="1">
        <v>1</v>
      </c>
      <c r="BP63" s="1">
        <v>1</v>
      </c>
      <c r="BQ63" s="1">
        <v>1</v>
      </c>
      <c r="BR63" s="3">
        <v>44306</v>
      </c>
      <c r="BS63" s="1" t="s">
        <v>61</v>
      </c>
      <c r="BT63" s="12" t="s">
        <v>60</v>
      </c>
      <c r="BU63" s="1">
        <v>5</v>
      </c>
      <c r="BV63" s="1">
        <v>1</v>
      </c>
      <c r="BW63" s="1"/>
      <c r="BX63" s="1"/>
      <c r="BY63" s="1"/>
      <c r="BZ63" s="1"/>
      <c r="CA63" s="1"/>
      <c r="CB63" s="1"/>
      <c r="CC63" s="1"/>
      <c r="CD63" s="1"/>
      <c r="CE63" s="1">
        <v>1</v>
      </c>
      <c r="CF63" s="3">
        <v>44371</v>
      </c>
      <c r="CG63" s="7">
        <f>CF63-AJ63</f>
        <v>34</v>
      </c>
      <c r="CH63" s="1" t="s">
        <v>1753</v>
      </c>
      <c r="CI63" s="1" t="s">
        <v>183</v>
      </c>
      <c r="CJ63" s="1" t="s">
        <v>182</v>
      </c>
      <c r="CK63" s="1" t="s">
        <v>1752</v>
      </c>
      <c r="CL63" s="1" t="s">
        <v>96</v>
      </c>
      <c r="CM63" s="1">
        <v>0</v>
      </c>
      <c r="CN63" s="1"/>
      <c r="CO63" s="1" t="s">
        <v>744</v>
      </c>
      <c r="CP63" s="1"/>
      <c r="CQ63" s="1" t="s">
        <v>1751</v>
      </c>
      <c r="CR63" s="1">
        <v>1.6</v>
      </c>
      <c r="CS63" s="1" t="s">
        <v>742</v>
      </c>
      <c r="CT63" s="1" t="s">
        <v>511</v>
      </c>
      <c r="CU63" s="1" t="s">
        <v>454</v>
      </c>
      <c r="CV63" s="1">
        <v>1</v>
      </c>
      <c r="CW63" s="1">
        <v>4.0999999999999996</v>
      </c>
      <c r="CX63" s="1">
        <v>12.9</v>
      </c>
      <c r="CY63" s="1">
        <v>0</v>
      </c>
      <c r="CZ63" s="1">
        <v>4</v>
      </c>
      <c r="DA63" s="1">
        <v>88</v>
      </c>
      <c r="DB63" s="2">
        <f>CZ63/DA63*100</f>
        <v>4.5454545454545459</v>
      </c>
      <c r="DC63" s="1">
        <v>1</v>
      </c>
      <c r="DD63" s="1">
        <v>0</v>
      </c>
      <c r="DE63" s="1">
        <v>0</v>
      </c>
      <c r="DF63" s="1">
        <v>0</v>
      </c>
      <c r="DG63" s="26" t="s">
        <v>1750</v>
      </c>
      <c r="DH63" s="7">
        <v>0</v>
      </c>
      <c r="DI63" s="7">
        <v>0</v>
      </c>
      <c r="DJ63" s="3"/>
      <c r="DK63" s="1"/>
      <c r="DL63" s="1"/>
      <c r="DM63" s="1"/>
      <c r="DN63" s="1"/>
      <c r="DO63" s="1"/>
      <c r="DP63" s="6"/>
      <c r="DQ63" s="7"/>
      <c r="DR63" s="3"/>
      <c r="DS63" s="8"/>
      <c r="DT63" s="7"/>
      <c r="DU63" s="7"/>
      <c r="DV63" s="7"/>
      <c r="DW63" s="7"/>
      <c r="DX63" s="7"/>
      <c r="DY63" s="7"/>
      <c r="DZ63" s="3"/>
      <c r="EA63" s="3"/>
      <c r="EB63" s="7"/>
      <c r="EC63" s="7"/>
      <c r="ED63" s="7"/>
      <c r="EE63" s="3"/>
      <c r="EF63" s="1"/>
      <c r="EG63" s="7"/>
      <c r="EH63" s="1"/>
      <c r="EI63" s="1"/>
      <c r="EJ63" s="7"/>
      <c r="EK63" s="1"/>
      <c r="EL63" s="1"/>
      <c r="EM63" s="1"/>
      <c r="EN63" s="7"/>
      <c r="EO63" s="7"/>
      <c r="EP63" s="7"/>
      <c r="EQ63" s="7"/>
      <c r="ER63" s="7"/>
      <c r="ES63" s="7"/>
      <c r="ET63" s="7"/>
      <c r="EU63" s="7"/>
      <c r="EV63" s="7"/>
      <c r="EW63" s="7"/>
      <c r="EX63" s="7"/>
      <c r="EY63" s="7"/>
      <c r="EZ63" s="7"/>
      <c r="FA63" s="7"/>
      <c r="FB63" s="1"/>
      <c r="FC63" s="6"/>
      <c r="FD63" s="1"/>
      <c r="FE63" s="1"/>
      <c r="FF63" s="1"/>
      <c r="FG63" s="1"/>
      <c r="FH63" s="2"/>
      <c r="FI63" s="2"/>
      <c r="FJ63" s="4"/>
      <c r="FK63" s="3"/>
      <c r="FL63" s="2"/>
      <c r="FM63" s="2"/>
      <c r="FN63" s="3"/>
      <c r="FO63" s="2"/>
      <c r="FP63" s="2"/>
      <c r="FQ63" s="2"/>
      <c r="FR63" s="2"/>
      <c r="FS63" s="1"/>
      <c r="FT63" s="1"/>
      <c r="FU63" s="1"/>
      <c r="FV63" s="1"/>
      <c r="FW63" s="1"/>
      <c r="FX63" s="1"/>
      <c r="FY63" s="1"/>
      <c r="FZ63" s="1"/>
    </row>
    <row r="64" spans="1:182" ht="12.75" hidden="1" customHeight="1">
      <c r="A64" s="1" t="s">
        <v>1749</v>
      </c>
      <c r="B64" s="1" t="s">
        <v>1748</v>
      </c>
      <c r="C64" s="1">
        <v>55779546</v>
      </c>
      <c r="D64" s="1">
        <v>1</v>
      </c>
      <c r="E64" s="1">
        <v>0</v>
      </c>
      <c r="F64" s="1">
        <v>0</v>
      </c>
      <c r="G64" s="1">
        <v>1</v>
      </c>
      <c r="I64" s="3">
        <v>44453</v>
      </c>
      <c r="J64" s="3">
        <v>44441</v>
      </c>
      <c r="K64" s="3">
        <v>21135</v>
      </c>
      <c r="L64" s="5">
        <f>(DAYS360(K64,I64))/365</f>
        <v>62.967123287671235</v>
      </c>
      <c r="M64" s="1" t="s">
        <v>5</v>
      </c>
      <c r="N64" s="1">
        <v>1</v>
      </c>
      <c r="O64" s="1">
        <v>0</v>
      </c>
      <c r="P64" s="1" t="s">
        <v>161</v>
      </c>
      <c r="Q64" s="1">
        <v>0</v>
      </c>
      <c r="R64" s="1" t="s">
        <v>18</v>
      </c>
      <c r="S64" s="1" t="s">
        <v>127</v>
      </c>
      <c r="T64" s="1" t="s">
        <v>67</v>
      </c>
      <c r="U64" s="1">
        <v>0</v>
      </c>
      <c r="V64" s="1">
        <v>0</v>
      </c>
      <c r="W64" s="1">
        <v>1</v>
      </c>
      <c r="X64" s="1" t="s">
        <v>1113</v>
      </c>
      <c r="Y64" s="1">
        <v>2</v>
      </c>
      <c r="Z64" s="1">
        <v>0</v>
      </c>
      <c r="AA64" s="1" t="s">
        <v>96</v>
      </c>
      <c r="AC64" s="1">
        <v>5</v>
      </c>
      <c r="AD64" s="1" t="s">
        <v>1747</v>
      </c>
      <c r="AE64" s="1" t="s">
        <v>174</v>
      </c>
      <c r="AF64" s="1">
        <v>1</v>
      </c>
      <c r="AG64" s="1">
        <v>1</v>
      </c>
      <c r="AH64" s="1">
        <v>1</v>
      </c>
      <c r="AI64" s="3">
        <v>44453</v>
      </c>
      <c r="AJ64" s="3">
        <v>44489</v>
      </c>
      <c r="BG64" s="1">
        <v>44</v>
      </c>
      <c r="BH64" s="1">
        <v>22</v>
      </c>
      <c r="BI64" s="1">
        <v>0</v>
      </c>
      <c r="BJ64" s="1">
        <v>0</v>
      </c>
      <c r="BK64" s="1">
        <v>44</v>
      </c>
      <c r="BL64" s="1">
        <v>22</v>
      </c>
      <c r="BM64" s="1">
        <v>2</v>
      </c>
      <c r="BN64" s="1" t="s">
        <v>62</v>
      </c>
      <c r="BO64" s="1">
        <v>1</v>
      </c>
      <c r="BP64" s="1">
        <v>1</v>
      </c>
      <c r="BQ64" s="1">
        <v>1</v>
      </c>
      <c r="BR64" s="3">
        <v>44453</v>
      </c>
      <c r="BS64" s="1" t="s">
        <v>61</v>
      </c>
      <c r="BT64" s="12" t="s">
        <v>60</v>
      </c>
      <c r="BU64" s="1">
        <v>5</v>
      </c>
      <c r="BV64" s="1">
        <v>1</v>
      </c>
      <c r="CE64" s="1">
        <v>1</v>
      </c>
      <c r="CF64" s="3">
        <v>44523</v>
      </c>
      <c r="CG64" s="7">
        <f>CF64-AJ64</f>
        <v>34</v>
      </c>
      <c r="CH64" s="1" t="s">
        <v>1746</v>
      </c>
      <c r="CI64" s="17" t="s">
        <v>460</v>
      </c>
      <c r="CJ64" s="1" t="s">
        <v>606</v>
      </c>
      <c r="CK64" s="1" t="s">
        <v>663</v>
      </c>
      <c r="CL64" s="1" t="s">
        <v>45</v>
      </c>
      <c r="CM64" s="1">
        <v>1</v>
      </c>
      <c r="CO64" s="1" t="s">
        <v>765</v>
      </c>
      <c r="CQ64" s="1" t="s">
        <v>45</v>
      </c>
      <c r="CR64" s="1">
        <v>0</v>
      </c>
      <c r="CS64" s="1" t="s">
        <v>45</v>
      </c>
      <c r="CT64" s="1" t="s">
        <v>45</v>
      </c>
      <c r="CU64" s="1" t="s">
        <v>45</v>
      </c>
      <c r="CV64" s="1">
        <v>0</v>
      </c>
      <c r="CW64" s="1" t="s">
        <v>45</v>
      </c>
      <c r="CX64" s="1" t="s">
        <v>45</v>
      </c>
      <c r="CY64" s="1" t="s">
        <v>45</v>
      </c>
      <c r="CZ64" s="1">
        <v>0</v>
      </c>
      <c r="DA64" s="1">
        <v>42</v>
      </c>
      <c r="DB64" s="2">
        <f>CZ64/DA64*100</f>
        <v>0</v>
      </c>
      <c r="DC64" s="1">
        <v>0</v>
      </c>
      <c r="DD64" s="1">
        <v>0</v>
      </c>
      <c r="DE64" s="1">
        <v>0</v>
      </c>
      <c r="DF64" s="1">
        <v>0</v>
      </c>
      <c r="DG64" s="26" t="s">
        <v>1745</v>
      </c>
      <c r="DH64" s="7">
        <v>0</v>
      </c>
      <c r="DI64" s="7">
        <v>0</v>
      </c>
      <c r="FI64" s="2"/>
    </row>
    <row r="65" spans="1:190" ht="12.75" hidden="1" customHeight="1">
      <c r="A65" s="1" t="s">
        <v>1744</v>
      </c>
      <c r="B65" s="1" t="s">
        <v>1743</v>
      </c>
      <c r="C65" s="1">
        <v>55775227</v>
      </c>
      <c r="D65" s="1">
        <v>1</v>
      </c>
      <c r="E65" s="1">
        <v>0</v>
      </c>
      <c r="F65" s="1">
        <v>0</v>
      </c>
      <c r="G65" s="1">
        <v>1</v>
      </c>
      <c r="I65" s="3">
        <v>44483</v>
      </c>
      <c r="J65" s="3">
        <v>44550</v>
      </c>
      <c r="K65" s="3">
        <v>17688</v>
      </c>
      <c r="L65" s="5">
        <f>(DAYS360(K65,I65))/365</f>
        <v>72.356164383561648</v>
      </c>
      <c r="M65" s="1" t="s">
        <v>5</v>
      </c>
      <c r="N65" s="1">
        <v>1</v>
      </c>
      <c r="O65" s="1">
        <v>0</v>
      </c>
      <c r="P65" s="1" t="s">
        <v>69</v>
      </c>
      <c r="Q65" s="1">
        <v>1</v>
      </c>
      <c r="R65" s="1" t="s">
        <v>18</v>
      </c>
      <c r="S65" s="1" t="s">
        <v>1742</v>
      </c>
      <c r="T65" s="1" t="s">
        <v>67</v>
      </c>
      <c r="U65" s="1">
        <v>0</v>
      </c>
      <c r="V65" s="1">
        <v>0</v>
      </c>
      <c r="W65" s="1">
        <v>1</v>
      </c>
      <c r="X65" s="1" t="s">
        <v>395</v>
      </c>
      <c r="Y65" s="1">
        <v>3</v>
      </c>
      <c r="Z65" s="1">
        <v>1</v>
      </c>
      <c r="AA65" s="1" t="s">
        <v>116</v>
      </c>
      <c r="AC65" s="1">
        <v>3</v>
      </c>
      <c r="AD65" s="1" t="s">
        <v>1741</v>
      </c>
      <c r="AE65" s="1" t="s">
        <v>114</v>
      </c>
      <c r="AF65" s="1">
        <v>0</v>
      </c>
      <c r="AG65" s="1">
        <v>0</v>
      </c>
      <c r="AH65" s="1">
        <v>0</v>
      </c>
      <c r="AI65" s="3">
        <v>44483</v>
      </c>
      <c r="AJ65" s="3">
        <v>44515</v>
      </c>
      <c r="BG65" s="1">
        <v>44</v>
      </c>
      <c r="BH65" s="1">
        <v>22</v>
      </c>
      <c r="BI65" s="1">
        <v>0</v>
      </c>
      <c r="BJ65" s="1">
        <v>0</v>
      </c>
      <c r="BK65" s="1">
        <v>44</v>
      </c>
      <c r="BL65" s="1">
        <v>22</v>
      </c>
      <c r="BM65" s="1">
        <v>2</v>
      </c>
      <c r="BN65" s="1" t="s">
        <v>62</v>
      </c>
      <c r="BO65" s="1">
        <v>1</v>
      </c>
      <c r="BP65" s="1">
        <v>1</v>
      </c>
      <c r="BQ65" s="1">
        <v>1</v>
      </c>
      <c r="BR65" s="3">
        <v>44483</v>
      </c>
      <c r="BS65" s="1" t="s">
        <v>61</v>
      </c>
      <c r="BT65" s="12" t="s">
        <v>60</v>
      </c>
      <c r="BU65" s="1">
        <v>5</v>
      </c>
      <c r="BV65" s="1">
        <v>1</v>
      </c>
      <c r="CE65" s="1">
        <v>1</v>
      </c>
      <c r="CF65" s="3">
        <v>44551</v>
      </c>
      <c r="CG65" s="7">
        <f>CF65-AJ65</f>
        <v>36</v>
      </c>
      <c r="CH65" s="1" t="s">
        <v>1740</v>
      </c>
      <c r="CI65" s="17" t="s">
        <v>460</v>
      </c>
      <c r="CJ65" s="1" t="s">
        <v>606</v>
      </c>
      <c r="CK65" s="1" t="s">
        <v>663</v>
      </c>
      <c r="CL65" s="1" t="s">
        <v>45</v>
      </c>
      <c r="CM65" s="1">
        <v>1</v>
      </c>
      <c r="CO65" s="1" t="s">
        <v>765</v>
      </c>
      <c r="CQ65" s="1" t="s">
        <v>45</v>
      </c>
      <c r="CR65" s="1">
        <v>0</v>
      </c>
      <c r="CS65" s="1" t="s">
        <v>45</v>
      </c>
      <c r="CT65" s="1" t="s">
        <v>45</v>
      </c>
      <c r="CU65" s="1" t="s">
        <v>45</v>
      </c>
      <c r="CV65" s="1">
        <v>0</v>
      </c>
      <c r="CW65" s="1" t="s">
        <v>45</v>
      </c>
      <c r="CX65" s="1" t="s">
        <v>45</v>
      </c>
      <c r="CY65" s="1" t="s">
        <v>45</v>
      </c>
      <c r="CZ65" s="1">
        <v>0</v>
      </c>
      <c r="DA65" s="1">
        <v>48</v>
      </c>
      <c r="DB65" s="2">
        <f>CZ65/DA65*100</f>
        <v>0</v>
      </c>
      <c r="DC65" s="1">
        <v>0</v>
      </c>
      <c r="DD65" s="1">
        <v>0</v>
      </c>
      <c r="DE65" s="1">
        <v>0</v>
      </c>
      <c r="DF65" s="1">
        <v>0</v>
      </c>
      <c r="DG65" s="26" t="s">
        <v>1739</v>
      </c>
      <c r="DH65" s="7">
        <v>0</v>
      </c>
      <c r="DI65" s="7">
        <v>0</v>
      </c>
      <c r="FI65" s="2"/>
    </row>
    <row r="66" spans="1:190" ht="12.75" hidden="1" customHeight="1">
      <c r="A66" s="1" t="s">
        <v>1738</v>
      </c>
      <c r="B66" s="1" t="s">
        <v>1737</v>
      </c>
      <c r="C66" s="1">
        <v>56003824</v>
      </c>
      <c r="D66" s="1">
        <v>1</v>
      </c>
      <c r="E66" s="1">
        <v>0</v>
      </c>
      <c r="F66" s="27">
        <v>0</v>
      </c>
      <c r="G66" s="1">
        <v>1</v>
      </c>
      <c r="I66" s="3">
        <v>44512</v>
      </c>
      <c r="J66" s="3">
        <v>44481</v>
      </c>
      <c r="K66" s="3">
        <v>22343</v>
      </c>
      <c r="L66" s="5">
        <f>(DAYS360(K66,I66))/365</f>
        <v>59.860273972602741</v>
      </c>
      <c r="M66" s="1" t="s">
        <v>5</v>
      </c>
      <c r="N66" s="1">
        <v>1</v>
      </c>
      <c r="O66" s="1">
        <v>0</v>
      </c>
      <c r="P66" s="1" t="s">
        <v>69</v>
      </c>
      <c r="Q66" s="1">
        <v>1</v>
      </c>
      <c r="R66" s="1" t="s">
        <v>18</v>
      </c>
      <c r="S66" s="1" t="s">
        <v>1076</v>
      </c>
      <c r="T66" s="1" t="s">
        <v>67</v>
      </c>
      <c r="U66" s="1">
        <v>0</v>
      </c>
      <c r="V66" s="1">
        <v>0</v>
      </c>
      <c r="W66" s="1">
        <v>1</v>
      </c>
      <c r="X66" s="1" t="s">
        <v>395</v>
      </c>
      <c r="Y66" s="1">
        <v>3</v>
      </c>
      <c r="Z66" s="1">
        <v>1</v>
      </c>
      <c r="AA66" s="1" t="s">
        <v>116</v>
      </c>
      <c r="AC66" s="1">
        <v>3</v>
      </c>
      <c r="AD66" s="1" t="s">
        <v>1736</v>
      </c>
      <c r="AE66" s="1" t="s">
        <v>125</v>
      </c>
      <c r="AF66" s="1">
        <v>0</v>
      </c>
      <c r="AG66" s="1">
        <v>0</v>
      </c>
      <c r="AH66" s="1">
        <v>0</v>
      </c>
      <c r="AI66" s="3">
        <v>44512</v>
      </c>
      <c r="AJ66" s="3">
        <v>44545</v>
      </c>
      <c r="BG66" s="1">
        <v>44</v>
      </c>
      <c r="BH66" s="1">
        <v>22</v>
      </c>
      <c r="BI66" s="1">
        <v>0</v>
      </c>
      <c r="BJ66" s="1">
        <v>0</v>
      </c>
      <c r="BK66" s="1">
        <v>44</v>
      </c>
      <c r="BL66" s="1">
        <v>22</v>
      </c>
      <c r="BM66" s="1">
        <v>2</v>
      </c>
      <c r="BN66" s="1" t="s">
        <v>62</v>
      </c>
      <c r="BO66" s="1">
        <v>1</v>
      </c>
      <c r="BP66" s="1">
        <v>1</v>
      </c>
      <c r="BQ66" s="1">
        <v>1</v>
      </c>
      <c r="BR66" s="3">
        <v>44512</v>
      </c>
      <c r="BS66" s="1" t="s">
        <v>61</v>
      </c>
      <c r="BT66" s="12" t="s">
        <v>60</v>
      </c>
      <c r="BU66" s="1">
        <v>5</v>
      </c>
      <c r="BV66" s="1">
        <v>1</v>
      </c>
      <c r="CE66" s="1">
        <v>1</v>
      </c>
      <c r="CF66" s="3">
        <v>44579</v>
      </c>
      <c r="CG66" s="7">
        <f>CF66-AJ66</f>
        <v>34</v>
      </c>
      <c r="CH66" s="1" t="s">
        <v>1735</v>
      </c>
      <c r="CI66" s="17" t="s">
        <v>460</v>
      </c>
      <c r="CJ66" s="1" t="s">
        <v>606</v>
      </c>
      <c r="CK66" s="1" t="s">
        <v>702</v>
      </c>
      <c r="CM66" s="1">
        <v>0</v>
      </c>
      <c r="CO66" s="1" t="s">
        <v>752</v>
      </c>
      <c r="CP66" s="1">
        <v>1</v>
      </c>
      <c r="CQ66" s="1" t="s">
        <v>1734</v>
      </c>
      <c r="CR66" s="1">
        <v>0.4</v>
      </c>
      <c r="CS66" s="1" t="s">
        <v>742</v>
      </c>
      <c r="CT66" s="1" t="s">
        <v>473</v>
      </c>
      <c r="CU66" s="1" t="s">
        <v>472</v>
      </c>
      <c r="CV66" s="1">
        <v>0</v>
      </c>
      <c r="CW66" s="1">
        <v>7</v>
      </c>
      <c r="CX66" s="1">
        <v>4</v>
      </c>
      <c r="CY66" s="1">
        <v>0.23</v>
      </c>
      <c r="CZ66" s="1">
        <v>0</v>
      </c>
      <c r="DA66" s="1">
        <v>61</v>
      </c>
      <c r="DB66" s="2">
        <f>CZ66/DA66*100</f>
        <v>0</v>
      </c>
      <c r="DC66" s="1">
        <v>0</v>
      </c>
      <c r="DD66" s="1">
        <v>0</v>
      </c>
      <c r="DE66" s="1">
        <v>0</v>
      </c>
      <c r="DF66" s="1">
        <v>0</v>
      </c>
      <c r="DG66" s="26" t="s">
        <v>1733</v>
      </c>
      <c r="DH66" s="7">
        <v>0</v>
      </c>
      <c r="DI66" s="7">
        <v>0</v>
      </c>
      <c r="FI66" s="2"/>
    </row>
    <row r="67" spans="1:190" ht="12.75" customHeight="1">
      <c r="A67" s="1" t="s">
        <v>1137</v>
      </c>
      <c r="B67" s="15" t="s">
        <v>1136</v>
      </c>
      <c r="C67" s="1">
        <v>13085456</v>
      </c>
      <c r="D67" s="1">
        <v>0</v>
      </c>
      <c r="E67" s="1">
        <v>0</v>
      </c>
      <c r="F67" s="1">
        <v>1</v>
      </c>
      <c r="G67" s="12">
        <v>1</v>
      </c>
      <c r="I67" s="3">
        <v>42691</v>
      </c>
      <c r="J67" s="3">
        <v>42667</v>
      </c>
      <c r="K67" s="3">
        <v>16866</v>
      </c>
      <c r="L67" s="5">
        <f>(DAYS360(K67,I67))/365</f>
        <v>69.731506849315068</v>
      </c>
      <c r="M67" s="1" t="s">
        <v>5</v>
      </c>
      <c r="N67" s="1">
        <v>1</v>
      </c>
      <c r="O67" s="1">
        <v>0</v>
      </c>
      <c r="P67" s="1" t="s">
        <v>45</v>
      </c>
      <c r="R67" s="1" t="s">
        <v>18</v>
      </c>
      <c r="S67" s="1" t="s">
        <v>1135</v>
      </c>
      <c r="T67" s="1" t="s">
        <v>80</v>
      </c>
      <c r="U67" s="1">
        <v>0</v>
      </c>
      <c r="V67" s="1">
        <v>1</v>
      </c>
      <c r="W67" s="1">
        <v>0</v>
      </c>
      <c r="X67" s="1" t="s">
        <v>296</v>
      </c>
      <c r="Y67" s="1">
        <v>2</v>
      </c>
      <c r="Z67" s="1">
        <v>2</v>
      </c>
      <c r="AA67" s="1" t="s">
        <v>116</v>
      </c>
      <c r="AC67" s="1">
        <v>3</v>
      </c>
      <c r="AD67" s="1" t="s">
        <v>1134</v>
      </c>
      <c r="AE67" s="1" t="s">
        <v>148</v>
      </c>
      <c r="AF67" s="1">
        <v>0</v>
      </c>
      <c r="AG67" s="1">
        <v>0</v>
      </c>
      <c r="AH67" s="1">
        <v>0</v>
      </c>
      <c r="AI67" s="3">
        <v>42691</v>
      </c>
      <c r="AJ67" s="3">
        <v>42726</v>
      </c>
      <c r="AK67" s="6" t="s">
        <v>1133</v>
      </c>
      <c r="AL67" s="6" t="s">
        <v>123</v>
      </c>
      <c r="AM67" s="1">
        <v>1</v>
      </c>
      <c r="AN67" s="1">
        <v>1</v>
      </c>
      <c r="AO67" s="1">
        <v>0</v>
      </c>
      <c r="AP67" s="1">
        <v>0</v>
      </c>
      <c r="AQ67" s="1">
        <v>0</v>
      </c>
      <c r="AR67" s="1">
        <v>0</v>
      </c>
      <c r="AS67" s="1">
        <v>0</v>
      </c>
      <c r="AT67" s="1">
        <v>0</v>
      </c>
      <c r="AU67" s="6" t="s">
        <v>1132</v>
      </c>
      <c r="AV67" s="1">
        <v>0.5</v>
      </c>
      <c r="AW67" s="1"/>
      <c r="AX67" s="6" t="s">
        <v>45</v>
      </c>
      <c r="AY67" s="6" t="s">
        <v>45</v>
      </c>
      <c r="AZ67" s="1">
        <v>0.6</v>
      </c>
      <c r="BA67" s="1">
        <v>6</v>
      </c>
      <c r="BB67" s="1">
        <v>266.3</v>
      </c>
      <c r="BC67" s="1">
        <f>6.9-0.3+0.3</f>
        <v>6.9</v>
      </c>
      <c r="BD67" s="1">
        <f>10.5-6+0.3</f>
        <v>4.8</v>
      </c>
      <c r="BE67" s="1">
        <v>530.5</v>
      </c>
      <c r="BF67" s="1" t="s">
        <v>123</v>
      </c>
      <c r="BG67" s="1">
        <v>45</v>
      </c>
      <c r="BH67" s="1">
        <v>45</v>
      </c>
      <c r="BI67" s="1">
        <v>0</v>
      </c>
      <c r="BJ67" s="1">
        <v>0</v>
      </c>
      <c r="BK67" s="1">
        <f>BH67+BI67</f>
        <v>45</v>
      </c>
      <c r="BL67" s="1">
        <v>25</v>
      </c>
      <c r="BM67" s="1">
        <v>1.8</v>
      </c>
      <c r="BN67" s="1" t="s">
        <v>110</v>
      </c>
      <c r="BO67" s="1">
        <v>0</v>
      </c>
      <c r="BP67" s="1">
        <v>1</v>
      </c>
      <c r="BQ67" s="1">
        <v>1</v>
      </c>
      <c r="BR67" s="3">
        <v>42691</v>
      </c>
      <c r="BS67" s="1" t="s">
        <v>61</v>
      </c>
      <c r="BT67" s="12" t="s">
        <v>60</v>
      </c>
      <c r="BU67" s="1">
        <v>3</v>
      </c>
      <c r="BV67" s="1">
        <v>0</v>
      </c>
      <c r="BW67" s="1">
        <v>6.11</v>
      </c>
      <c r="BX67" s="1">
        <v>0.54600000000000004</v>
      </c>
      <c r="BY67" s="1">
        <v>0.34</v>
      </c>
      <c r="BZ67" s="1">
        <v>15.5</v>
      </c>
      <c r="CA67" s="1">
        <v>208</v>
      </c>
      <c r="CB67" s="1">
        <v>1.83</v>
      </c>
      <c r="CC67" s="1">
        <v>20</v>
      </c>
      <c r="CD67" s="1">
        <v>7.5</v>
      </c>
      <c r="CE67" s="1">
        <v>1</v>
      </c>
      <c r="CF67" s="3">
        <v>42761</v>
      </c>
      <c r="CG67" s="7">
        <f>CF67-AJ67</f>
        <v>35</v>
      </c>
      <c r="CH67" s="1" t="s">
        <v>1057</v>
      </c>
      <c r="CI67" s="12" t="s">
        <v>183</v>
      </c>
      <c r="CJ67" s="17" t="s">
        <v>182</v>
      </c>
      <c r="CK67" s="1" t="s">
        <v>1131</v>
      </c>
      <c r="CL67" s="1" t="s">
        <v>1130</v>
      </c>
      <c r="CM67" s="1">
        <v>0</v>
      </c>
      <c r="CN67" s="12" t="str">
        <f>MID(CK67,4,1)</f>
        <v>1</v>
      </c>
      <c r="CO67" s="1" t="s">
        <v>1004</v>
      </c>
      <c r="CP67" s="1">
        <v>1</v>
      </c>
      <c r="CQ67" s="1" t="s">
        <v>1129</v>
      </c>
      <c r="CR67" s="1">
        <v>0.4</v>
      </c>
      <c r="CS67" s="1" t="s">
        <v>1014</v>
      </c>
      <c r="CT67" s="1" t="s">
        <v>473</v>
      </c>
      <c r="CU67" s="1" t="s">
        <v>472</v>
      </c>
      <c r="CV67" s="1">
        <v>0</v>
      </c>
      <c r="CW67" s="1">
        <v>7.5</v>
      </c>
      <c r="CX67" s="1">
        <v>7.2</v>
      </c>
      <c r="CY67" s="1" t="s">
        <v>45</v>
      </c>
      <c r="CZ67" s="1">
        <v>0</v>
      </c>
      <c r="DA67" s="1">
        <v>59</v>
      </c>
      <c r="DB67" s="2">
        <f>CZ67/DA67*100</f>
        <v>0</v>
      </c>
      <c r="DC67" s="1">
        <v>0</v>
      </c>
      <c r="DD67" s="1">
        <v>0</v>
      </c>
      <c r="DE67" s="1">
        <v>0</v>
      </c>
      <c r="DF67" s="1">
        <v>0</v>
      </c>
      <c r="DG67" s="26" t="s">
        <v>1128</v>
      </c>
      <c r="DH67" s="7">
        <v>0</v>
      </c>
      <c r="DI67" s="7">
        <v>0</v>
      </c>
      <c r="DJ67" s="3">
        <v>44349</v>
      </c>
      <c r="DK67" s="1" t="s">
        <v>75</v>
      </c>
      <c r="DL67" s="12">
        <f>(DJ67-I67)/365.25*12</f>
        <v>54.472279260780283</v>
      </c>
      <c r="DM67" s="1">
        <v>0</v>
      </c>
      <c r="DN67" s="1" t="s">
        <v>45</v>
      </c>
      <c r="DO67" s="1" t="s">
        <v>45</v>
      </c>
      <c r="DP67" s="6" t="s">
        <v>45</v>
      </c>
      <c r="DQ67" s="7">
        <v>0</v>
      </c>
      <c r="DR67" s="3" t="s">
        <v>45</v>
      </c>
      <c r="DS67" s="10">
        <f>IF(DQ67=1, (DR67-$I67)/365.25*12, IF(DQ67=0, $DL67, "ERROR"))</f>
        <v>54.472279260780283</v>
      </c>
      <c r="DT67" s="7">
        <v>0</v>
      </c>
      <c r="DU67" s="7">
        <v>0</v>
      </c>
      <c r="DV67" s="7">
        <v>0</v>
      </c>
      <c r="DW67" s="16">
        <f>DU67*(1-DV67)</f>
        <v>0</v>
      </c>
      <c r="DX67" s="16">
        <f>(1-DU67)*DV67</f>
        <v>0</v>
      </c>
      <c r="DY67" s="16">
        <f>DU67*DV67</f>
        <v>0</v>
      </c>
      <c r="DZ67" s="3" t="s">
        <v>45</v>
      </c>
      <c r="EA67" s="10">
        <f>IF(DT67=1, (DZ67-$I67)/365.25*12, IF(DT67=0, $DL67, "ERROR"))</f>
        <v>54.472279260780283</v>
      </c>
      <c r="EB67" s="7">
        <v>0</v>
      </c>
      <c r="EC67" s="7">
        <v>0</v>
      </c>
      <c r="ED67" s="16">
        <f>1-((1-DQ67)*(1-DT67))</f>
        <v>0</v>
      </c>
      <c r="EE67" s="11" t="s">
        <v>45</v>
      </c>
      <c r="EF67" s="1" t="s">
        <v>45</v>
      </c>
      <c r="EG67" s="7" t="s">
        <v>45</v>
      </c>
      <c r="EH67" s="1" t="s">
        <v>45</v>
      </c>
      <c r="EI67" s="1">
        <v>0</v>
      </c>
      <c r="EJ67" s="16">
        <f>(1-DQ67)*DX67*(1-EI67)</f>
        <v>0</v>
      </c>
      <c r="EK67" s="1" t="s">
        <v>45</v>
      </c>
      <c r="EL67" s="10">
        <f>IF(EI67=1, (EK67-$I67)/365.25*12, IF(EI67=0, $DL67, "ERROR"))</f>
        <v>54.472279260780283</v>
      </c>
      <c r="EM67" s="1" t="s">
        <v>45</v>
      </c>
      <c r="EN67" s="1">
        <v>0</v>
      </c>
      <c r="EO67" s="1">
        <v>0</v>
      </c>
      <c r="EP67" s="1">
        <v>0</v>
      </c>
      <c r="EQ67" s="1">
        <v>0</v>
      </c>
      <c r="ER67" s="1">
        <v>0</v>
      </c>
      <c r="ES67" s="1">
        <v>0</v>
      </c>
      <c r="ET67" s="1">
        <v>0</v>
      </c>
      <c r="EU67" s="1">
        <v>0</v>
      </c>
      <c r="EV67" s="1">
        <v>0</v>
      </c>
      <c r="EW67" s="1">
        <f>1-((1-EP67)*(1-ET67)*(1-EU67)*(1-EV67))</f>
        <v>0</v>
      </c>
      <c r="EX67" s="7">
        <v>0</v>
      </c>
      <c r="EY67" s="7">
        <v>0</v>
      </c>
      <c r="EZ67" s="7">
        <v>0</v>
      </c>
      <c r="FA67" s="7">
        <v>0</v>
      </c>
      <c r="FB67" s="1" t="s">
        <v>45</v>
      </c>
      <c r="FC67" s="1">
        <v>0</v>
      </c>
      <c r="FD67" s="1">
        <v>1</v>
      </c>
      <c r="FF67" s="1" t="s">
        <v>45</v>
      </c>
      <c r="FG67" s="3">
        <f>IF(FC67=1, FF67, IF(FD67=1, 44348, DJ67))</f>
        <v>44348</v>
      </c>
      <c r="FH67" s="13">
        <f>(FG67-I67)/365.25*12</f>
        <v>54.439425051334695</v>
      </c>
      <c r="FI67" s="20">
        <f>IF(DM67=1, (DO67-I67)/365.25*12, IF(DM67=0, DL67, "ERROR"))</f>
        <v>54.472279260780283</v>
      </c>
      <c r="FJ67" s="14">
        <f>IF(OR(DM67,FC67), 1, 0)</f>
        <v>0</v>
      </c>
      <c r="FK67" s="11">
        <f>IF(DM67=1,IF(FC67=1,MIN(DO67,FF67),DO67),IF(FC67=1,FF67,DJ67))</f>
        <v>44349</v>
      </c>
      <c r="FL67" s="13">
        <f>(FK67-$I67)/365.25*12</f>
        <v>54.472279260780283</v>
      </c>
      <c r="FM67" s="14">
        <f>IF(OR(ED67,FC67), 1, 0)</f>
        <v>0</v>
      </c>
      <c r="FN67" s="11">
        <f>IF(ED67=1,IF(FC67=1,MIN(EE67,FF67),EE67),IF(FC67=1,FF67,DJ67))</f>
        <v>44349</v>
      </c>
      <c r="FO67" s="13">
        <f>(FN67-$I67)/365.25*12</f>
        <v>54.472279260780283</v>
      </c>
      <c r="FP67" s="14">
        <f>IF(OR(EI67,FC67), 1, 0)</f>
        <v>0</v>
      </c>
      <c r="FQ67" s="11">
        <f>IF(EI67=1,IF(FC67=1,MIN(EK67,FF67),EK67),IF(FC67=1,FF67,DJ67))</f>
        <v>44349</v>
      </c>
      <c r="FR67" s="13">
        <f>(FQ67-$I67)/365.25*12</f>
        <v>54.472279260780283</v>
      </c>
      <c r="FU67" s="1">
        <v>0</v>
      </c>
      <c r="FV67" s="1">
        <v>0</v>
      </c>
      <c r="FW67" s="1">
        <v>0</v>
      </c>
      <c r="FX67" s="1">
        <v>0</v>
      </c>
      <c r="GA67" s="1">
        <v>5</v>
      </c>
      <c r="GB67" s="1">
        <v>5</v>
      </c>
      <c r="GC67" s="1">
        <v>366.0532</v>
      </c>
      <c r="GD67" s="1">
        <v>51.952199999999998</v>
      </c>
      <c r="GE67" s="25">
        <v>10</v>
      </c>
      <c r="GF67" s="25">
        <v>10</v>
      </c>
      <c r="GG67" s="1">
        <v>3171.7242999999999</v>
      </c>
      <c r="GH67" s="24">
        <v>890.42970000000003</v>
      </c>
    </row>
    <row r="68" spans="1:190" ht="12.75" customHeight="1">
      <c r="A68" s="1" t="s">
        <v>792</v>
      </c>
      <c r="B68" s="1" t="s">
        <v>791</v>
      </c>
      <c r="C68" s="1">
        <v>17815426</v>
      </c>
      <c r="D68" s="1">
        <v>1</v>
      </c>
      <c r="E68" s="1">
        <v>0</v>
      </c>
      <c r="F68" s="1">
        <v>1</v>
      </c>
      <c r="G68" s="1">
        <v>1</v>
      </c>
      <c r="I68" s="3">
        <v>44407</v>
      </c>
      <c r="J68" s="3">
        <v>44385</v>
      </c>
      <c r="K68" s="3">
        <v>20093</v>
      </c>
      <c r="L68" s="5">
        <f>(DAYS360(K68,I68))/365</f>
        <v>65.660273972602738</v>
      </c>
      <c r="M68" s="1" t="s">
        <v>5</v>
      </c>
      <c r="N68" s="1">
        <v>1</v>
      </c>
      <c r="O68" s="1">
        <v>0</v>
      </c>
      <c r="P68" s="1" t="s">
        <v>69</v>
      </c>
      <c r="Q68" s="1">
        <v>1</v>
      </c>
      <c r="R68" s="1" t="s">
        <v>18</v>
      </c>
      <c r="S68" s="1" t="s">
        <v>790</v>
      </c>
      <c r="T68" s="1" t="s">
        <v>140</v>
      </c>
      <c r="U68" s="1">
        <v>1</v>
      </c>
      <c r="V68" s="1">
        <v>0</v>
      </c>
      <c r="W68" s="1">
        <v>0</v>
      </c>
      <c r="X68" s="1" t="s">
        <v>79</v>
      </c>
      <c r="Y68" s="1">
        <v>3</v>
      </c>
      <c r="Z68" s="1">
        <v>1</v>
      </c>
      <c r="AA68" s="1" t="s">
        <v>116</v>
      </c>
      <c r="AC68" s="1">
        <v>3</v>
      </c>
      <c r="AD68" s="1" t="s">
        <v>789</v>
      </c>
      <c r="AE68" s="1" t="s">
        <v>114</v>
      </c>
      <c r="AF68" s="1">
        <v>0</v>
      </c>
      <c r="AG68" s="1">
        <v>0</v>
      </c>
      <c r="AH68" s="1">
        <v>0</v>
      </c>
      <c r="AI68" s="3">
        <v>44407</v>
      </c>
      <c r="AJ68" s="3">
        <v>44438</v>
      </c>
      <c r="BA68" s="1">
        <v>5</v>
      </c>
      <c r="BG68" s="1">
        <v>44</v>
      </c>
      <c r="BH68" s="1">
        <v>22</v>
      </c>
      <c r="BI68" s="1">
        <v>0</v>
      </c>
      <c r="BJ68" s="1">
        <v>0</v>
      </c>
      <c r="BK68" s="1">
        <v>44</v>
      </c>
      <c r="BL68" s="1">
        <v>22</v>
      </c>
      <c r="BM68" s="1">
        <v>2</v>
      </c>
      <c r="BN68" s="1" t="s">
        <v>62</v>
      </c>
      <c r="BO68" s="1">
        <v>1</v>
      </c>
      <c r="BP68" s="1">
        <v>1</v>
      </c>
      <c r="BQ68" s="1">
        <v>1</v>
      </c>
      <c r="BR68" s="3">
        <v>44407</v>
      </c>
      <c r="BS68" s="1" t="s">
        <v>61</v>
      </c>
      <c r="BT68" s="12" t="s">
        <v>60</v>
      </c>
      <c r="BU68" s="1">
        <v>5</v>
      </c>
      <c r="BV68" s="1">
        <v>1</v>
      </c>
      <c r="CE68" s="1">
        <v>1</v>
      </c>
      <c r="CF68" s="3">
        <v>44476</v>
      </c>
      <c r="CG68" s="7">
        <f>CF68-AJ68</f>
        <v>38</v>
      </c>
      <c r="CH68" s="1" t="s">
        <v>788</v>
      </c>
      <c r="CI68" s="1" t="s">
        <v>183</v>
      </c>
      <c r="CJ68" s="1" t="s">
        <v>182</v>
      </c>
      <c r="CK68" s="1" t="s">
        <v>787</v>
      </c>
      <c r="CL68" s="1" t="s">
        <v>96</v>
      </c>
      <c r="CM68" s="1">
        <v>0</v>
      </c>
      <c r="CN68" s="12" t="str">
        <f>MID(CK68,4,1)</f>
        <v>0</v>
      </c>
      <c r="CO68" s="1" t="s">
        <v>786</v>
      </c>
      <c r="CP68" s="1">
        <v>0</v>
      </c>
      <c r="CZ68" s="1">
        <v>2</v>
      </c>
      <c r="DA68" s="1">
        <v>69</v>
      </c>
      <c r="DB68" s="2">
        <f>CZ68/DA68*100</f>
        <v>2.8985507246376812</v>
      </c>
      <c r="DC68" s="1">
        <v>0</v>
      </c>
      <c r="DD68" s="1">
        <v>0</v>
      </c>
      <c r="DE68" s="1">
        <v>0</v>
      </c>
      <c r="DF68" s="1">
        <v>0</v>
      </c>
      <c r="DG68" s="26" t="s">
        <v>785</v>
      </c>
      <c r="DH68" s="7">
        <v>0</v>
      </c>
      <c r="DI68" s="7">
        <v>0</v>
      </c>
      <c r="DJ68" s="3">
        <v>44867</v>
      </c>
      <c r="DK68" s="1" t="s">
        <v>75</v>
      </c>
      <c r="DL68" s="1">
        <f>(DJ68-I68)/365.25*12</f>
        <v>15.112936344969199</v>
      </c>
      <c r="DM68" s="1">
        <v>0</v>
      </c>
      <c r="DQ68" s="7">
        <v>0</v>
      </c>
      <c r="DT68" s="7">
        <v>0</v>
      </c>
      <c r="DU68" s="7">
        <v>0</v>
      </c>
      <c r="DV68" s="7">
        <v>0</v>
      </c>
      <c r="DW68" s="7">
        <f>DU68*(1-DV68)</f>
        <v>0</v>
      </c>
      <c r="DX68" s="7">
        <f>(1-DU68)*DV68</f>
        <v>0</v>
      </c>
      <c r="DY68" s="7">
        <f>DU68*DV68</f>
        <v>0</v>
      </c>
      <c r="EB68" s="7">
        <v>0</v>
      </c>
      <c r="EC68" s="7">
        <v>0</v>
      </c>
      <c r="ED68" s="7">
        <f>1-((1-DQ68)*(1-DT68))</f>
        <v>0</v>
      </c>
      <c r="EI68" s="1">
        <v>0</v>
      </c>
      <c r="EJ68" s="7">
        <f>(1-DQ68)*DX68*(1-EI68)</f>
        <v>0</v>
      </c>
      <c r="FC68" s="6" t="s">
        <v>50</v>
      </c>
      <c r="FD68" s="1">
        <v>0</v>
      </c>
      <c r="FF68" s="1" t="s">
        <v>45</v>
      </c>
      <c r="FI68" s="20">
        <f>IF(DM68=1, (DO68-I68)/365.25*12, IF(DM68=0, DL68, "ERROR"))</f>
        <v>15.112936344969199</v>
      </c>
      <c r="GA68" s="1">
        <v>50</v>
      </c>
      <c r="GB68" s="1">
        <v>40</v>
      </c>
      <c r="GC68" s="1">
        <v>637.67340000000002</v>
      </c>
      <c r="GD68" s="1">
        <v>374.49119999999999</v>
      </c>
      <c r="GE68" s="25">
        <v>80</v>
      </c>
      <c r="GF68" s="25">
        <v>80</v>
      </c>
      <c r="GG68" s="1">
        <v>1532.5386000000001</v>
      </c>
      <c r="GH68" s="24">
        <v>1298.4059999999999</v>
      </c>
    </row>
    <row r="69" spans="1:190" ht="12.75" customHeight="1">
      <c r="A69" s="1" t="s">
        <v>1311</v>
      </c>
      <c r="B69" s="15" t="s">
        <v>1310</v>
      </c>
      <c r="C69" s="1">
        <v>20109646</v>
      </c>
      <c r="D69" s="1">
        <v>0</v>
      </c>
      <c r="E69" s="1">
        <v>0</v>
      </c>
      <c r="F69" s="1">
        <v>1</v>
      </c>
      <c r="G69" s="12">
        <v>1</v>
      </c>
      <c r="I69" s="3">
        <v>43290</v>
      </c>
      <c r="J69" s="3">
        <v>43238</v>
      </c>
      <c r="K69" s="3">
        <v>18799</v>
      </c>
      <c r="L69" s="5">
        <f>(DAYS360(K69,I69))/365</f>
        <v>66.134246575342459</v>
      </c>
      <c r="M69" s="1" t="s">
        <v>5</v>
      </c>
      <c r="N69" s="1">
        <v>1</v>
      </c>
      <c r="O69" s="1">
        <v>0</v>
      </c>
      <c r="P69" s="1" t="s">
        <v>69</v>
      </c>
      <c r="Q69" s="1">
        <v>1</v>
      </c>
      <c r="R69" s="1" t="s">
        <v>209</v>
      </c>
      <c r="S69" s="1" t="s">
        <v>151</v>
      </c>
      <c r="T69" s="1" t="s">
        <v>67</v>
      </c>
      <c r="U69" s="1">
        <v>0</v>
      </c>
      <c r="V69" s="1">
        <v>0</v>
      </c>
      <c r="W69" s="1">
        <v>1</v>
      </c>
      <c r="X69" s="1" t="s">
        <v>117</v>
      </c>
      <c r="Y69" s="1">
        <v>3</v>
      </c>
      <c r="Z69" s="1">
        <v>1</v>
      </c>
      <c r="AA69" s="1" t="s">
        <v>116</v>
      </c>
      <c r="AC69" s="1">
        <v>3</v>
      </c>
      <c r="AD69" s="1" t="s">
        <v>1309</v>
      </c>
      <c r="AE69" s="1" t="s">
        <v>114</v>
      </c>
      <c r="AF69" s="1">
        <v>0</v>
      </c>
      <c r="AG69" s="1">
        <v>0</v>
      </c>
      <c r="AH69" s="1">
        <v>0</v>
      </c>
      <c r="AI69" s="3">
        <v>43290</v>
      </c>
      <c r="AJ69" s="3">
        <v>43325</v>
      </c>
      <c r="AK69" s="6" t="s">
        <v>1308</v>
      </c>
      <c r="AL69" s="6" t="s">
        <v>250</v>
      </c>
      <c r="AM69" s="1">
        <v>0</v>
      </c>
      <c r="AN69" s="1">
        <v>0</v>
      </c>
      <c r="AO69" s="1">
        <v>0</v>
      </c>
      <c r="AP69" s="1">
        <v>0</v>
      </c>
      <c r="AQ69" s="1">
        <v>1</v>
      </c>
      <c r="AR69" s="1">
        <v>1</v>
      </c>
      <c r="AS69" s="12">
        <f>IF(AND(AM69=0,AU69&lt;=2), 1, 0)</f>
        <v>1</v>
      </c>
      <c r="AT69" s="12">
        <v>1</v>
      </c>
      <c r="AU69" s="1">
        <v>2</v>
      </c>
      <c r="AV69" s="1">
        <v>0.5</v>
      </c>
      <c r="AW69" s="1">
        <v>0.5</v>
      </c>
      <c r="AX69" s="6" t="s">
        <v>45</v>
      </c>
      <c r="AY69" s="6" t="s">
        <v>45</v>
      </c>
      <c r="AZ69" s="6" t="s">
        <v>46</v>
      </c>
      <c r="BA69" s="1">
        <f>5.1+5.7+0.3</f>
        <v>11.100000000000001</v>
      </c>
      <c r="BB69" s="1">
        <v>161.69999999999999</v>
      </c>
      <c r="BC69" s="1">
        <v>2</v>
      </c>
      <c r="BD69" s="1">
        <v>0.9</v>
      </c>
      <c r="BE69" s="1">
        <v>416.4</v>
      </c>
      <c r="BF69" s="1" t="s">
        <v>1299</v>
      </c>
      <c r="BG69" s="1">
        <v>45</v>
      </c>
      <c r="BH69" s="1">
        <v>45</v>
      </c>
      <c r="BI69" s="1">
        <v>0</v>
      </c>
      <c r="BJ69" s="1">
        <v>0</v>
      </c>
      <c r="BK69" s="1">
        <f>BH69+BI69</f>
        <v>45</v>
      </c>
      <c r="BL69" s="1">
        <v>25</v>
      </c>
      <c r="BM69" s="1">
        <v>1.8</v>
      </c>
      <c r="BN69" s="1" t="s">
        <v>62</v>
      </c>
      <c r="BO69" s="1">
        <v>1</v>
      </c>
      <c r="BP69" s="1">
        <v>1</v>
      </c>
      <c r="BQ69" s="1">
        <v>1</v>
      </c>
      <c r="BR69" s="3">
        <v>43290</v>
      </c>
      <c r="BS69" s="1" t="s">
        <v>61</v>
      </c>
      <c r="BT69" s="12" t="s">
        <v>60</v>
      </c>
      <c r="BU69" s="1">
        <v>5</v>
      </c>
      <c r="BV69" s="1">
        <v>1</v>
      </c>
      <c r="BW69" s="1">
        <v>9.89</v>
      </c>
      <c r="BX69" s="1">
        <v>0.79300000000000004</v>
      </c>
      <c r="BY69" s="1">
        <v>0.13100000000000001</v>
      </c>
      <c r="BZ69" s="1">
        <v>7.4</v>
      </c>
      <c r="CA69" s="1">
        <v>285</v>
      </c>
      <c r="CB69" s="1">
        <v>1.68</v>
      </c>
      <c r="CC69" s="1">
        <v>13</v>
      </c>
      <c r="CD69" s="1">
        <v>9.8000000000000007</v>
      </c>
      <c r="CE69" s="1">
        <v>1</v>
      </c>
      <c r="CF69" s="3">
        <v>43375</v>
      </c>
      <c r="CG69" s="7">
        <f>CF69-AJ69</f>
        <v>50</v>
      </c>
      <c r="CH69" s="1" t="s">
        <v>1307</v>
      </c>
      <c r="CI69" s="1" t="s">
        <v>730</v>
      </c>
      <c r="CJ69" s="1" t="s">
        <v>515</v>
      </c>
      <c r="CK69" s="1" t="s">
        <v>1110</v>
      </c>
      <c r="CL69" s="1" t="s">
        <v>1109</v>
      </c>
      <c r="CM69" s="1">
        <v>0</v>
      </c>
      <c r="CN69" s="12" t="str">
        <f>MID(CK69,4,1)</f>
        <v>3</v>
      </c>
      <c r="CO69" s="1" t="s">
        <v>744</v>
      </c>
      <c r="CP69" s="1">
        <v>2</v>
      </c>
      <c r="CQ69" s="1" t="s">
        <v>1306</v>
      </c>
      <c r="CR69" s="1">
        <v>5.5</v>
      </c>
      <c r="CS69" s="1" t="s">
        <v>1014</v>
      </c>
      <c r="CT69" s="1" t="s">
        <v>511</v>
      </c>
      <c r="CU69" s="1" t="s">
        <v>472</v>
      </c>
      <c r="CV69" s="1">
        <v>0</v>
      </c>
      <c r="CW69" s="1">
        <v>7.3</v>
      </c>
      <c r="CX69" s="1">
        <v>5</v>
      </c>
      <c r="CY69" s="1">
        <v>0.1</v>
      </c>
      <c r="CZ69" s="1">
        <v>2</v>
      </c>
      <c r="DA69" s="1">
        <v>40</v>
      </c>
      <c r="DB69" s="2">
        <f>CZ69/DA69*100</f>
        <v>5</v>
      </c>
      <c r="DC69" s="1">
        <v>0</v>
      </c>
      <c r="DD69" s="1">
        <v>0</v>
      </c>
      <c r="DE69" s="1">
        <v>0</v>
      </c>
      <c r="DF69" s="1">
        <v>0</v>
      </c>
      <c r="DG69" s="26" t="s">
        <v>1305</v>
      </c>
      <c r="DH69" s="7">
        <v>0</v>
      </c>
      <c r="DI69" s="7">
        <v>0</v>
      </c>
      <c r="DJ69" s="3">
        <v>43406</v>
      </c>
      <c r="DK69" s="1" t="s">
        <v>339</v>
      </c>
      <c r="DL69" s="12">
        <f>(DJ69-I69)/365.25*12</f>
        <v>3.8110882956878851</v>
      </c>
      <c r="DM69" s="1">
        <v>0</v>
      </c>
      <c r="DN69" s="1" t="s">
        <v>45</v>
      </c>
      <c r="DO69" s="1" t="s">
        <v>45</v>
      </c>
      <c r="DP69" s="6" t="s">
        <v>45</v>
      </c>
      <c r="DQ69" s="7">
        <v>0</v>
      </c>
      <c r="DR69" s="3" t="s">
        <v>45</v>
      </c>
      <c r="DS69" s="10">
        <f>IF(DQ69=1, (DR69-$I69)/365.25*12, IF(DQ69=0, $DL69, "ERROR"))</f>
        <v>3.8110882956878851</v>
      </c>
      <c r="DT69" s="7">
        <v>0</v>
      </c>
      <c r="DU69" s="7">
        <v>0</v>
      </c>
      <c r="DV69" s="7">
        <v>0</v>
      </c>
      <c r="DW69" s="16">
        <f>DU69*(1-DV69)</f>
        <v>0</v>
      </c>
      <c r="DX69" s="16">
        <f>(1-DU69)*DV69</f>
        <v>0</v>
      </c>
      <c r="DY69" s="16">
        <f>DU69*DV69</f>
        <v>0</v>
      </c>
      <c r="DZ69" s="3" t="s">
        <v>45</v>
      </c>
      <c r="EA69" s="10">
        <f>IF(DT69=1, (DZ69-$I69)/365.25*12, IF(DT69=0, $DL69, "ERROR"))</f>
        <v>3.8110882956878851</v>
      </c>
      <c r="EB69" s="7">
        <v>0</v>
      </c>
      <c r="EC69" s="7">
        <v>0</v>
      </c>
      <c r="ED69" s="16">
        <f>1-((1-DQ69)*(1-DT69))</f>
        <v>0</v>
      </c>
      <c r="EE69" s="11" t="s">
        <v>45</v>
      </c>
      <c r="EF69" s="1" t="s">
        <v>45</v>
      </c>
      <c r="EG69" s="7" t="s">
        <v>45</v>
      </c>
      <c r="EH69" s="1" t="s">
        <v>45</v>
      </c>
      <c r="EI69" s="1">
        <v>0</v>
      </c>
      <c r="EJ69" s="16">
        <f>(1-DQ69)*DX69*(1-EI69)</f>
        <v>0</v>
      </c>
      <c r="EK69" s="1" t="s">
        <v>45</v>
      </c>
      <c r="EL69" s="10">
        <f>IF(EI69=1, (EK69-$I69)/365.25*12, IF(EI69=0, $DL69, "ERROR"))</f>
        <v>3.8110882956878851</v>
      </c>
      <c r="EM69" s="1" t="s">
        <v>45</v>
      </c>
      <c r="EN69" s="1">
        <v>0</v>
      </c>
      <c r="EO69" s="1">
        <v>0</v>
      </c>
      <c r="EP69" s="1">
        <v>0</v>
      </c>
      <c r="EQ69" s="1">
        <v>0</v>
      </c>
      <c r="ER69" s="1">
        <v>0</v>
      </c>
      <c r="ES69" s="1">
        <v>0</v>
      </c>
      <c r="ET69" s="1">
        <v>0</v>
      </c>
      <c r="EU69" s="1">
        <v>0</v>
      </c>
      <c r="EV69" s="1">
        <v>0</v>
      </c>
      <c r="EW69" s="1">
        <f>1-((1-EP69)*(1-ET69)*(1-EU69)*(1-EV69))</f>
        <v>0</v>
      </c>
      <c r="EX69" s="7">
        <v>0</v>
      </c>
      <c r="EY69" s="7">
        <v>0</v>
      </c>
      <c r="EZ69" s="7">
        <v>0</v>
      </c>
      <c r="FA69" s="7">
        <v>0</v>
      </c>
      <c r="FB69" s="1" t="s">
        <v>45</v>
      </c>
      <c r="FC69" s="1">
        <v>1</v>
      </c>
      <c r="FD69" s="1">
        <v>1</v>
      </c>
      <c r="FE69" s="1" t="s">
        <v>1304</v>
      </c>
      <c r="FF69" s="3">
        <v>43406</v>
      </c>
      <c r="FG69" s="3">
        <f>IF(FC69=1, FF69, IF(FD69=1, 44348, DJ69))</f>
        <v>43406</v>
      </c>
      <c r="FH69" s="13">
        <f>(FG69-I69)/365.25*12</f>
        <v>3.8110882956878851</v>
      </c>
      <c r="FI69" s="20">
        <f>IF(DM69=1, (DO69-I69)/365.25*12, IF(DM69=0, DL69, "ERROR"))</f>
        <v>3.8110882956878851</v>
      </c>
      <c r="FJ69" s="14">
        <f>IF(OR(DM69,FC69), 1, 0)</f>
        <v>1</v>
      </c>
      <c r="FK69" s="11">
        <f>IF(DM69=1,IF(FC69=1,MIN(DO69,FF69),DO69),IF(FC69=1,FF69,DJ69))</f>
        <v>43406</v>
      </c>
      <c r="FL69" s="13">
        <f>(FK69-$I69)/365.25*12</f>
        <v>3.8110882956878851</v>
      </c>
      <c r="FM69" s="14">
        <f>IF(OR(ED69,FC69), 1, 0)</f>
        <v>1</v>
      </c>
      <c r="FN69" s="11">
        <f>IF(ED69=1,IF(FC69=1,MIN(EE69,FF69),EE69),IF(FC69=1,FF69,DJ69))</f>
        <v>43406</v>
      </c>
      <c r="FO69" s="13">
        <f>(FN69-$I69)/365.25*12</f>
        <v>3.8110882956878851</v>
      </c>
      <c r="FP69" s="14">
        <f>IF(OR(EI69,FC69), 1, 0)</f>
        <v>1</v>
      </c>
      <c r="FQ69" s="11">
        <f>IF(EI69=1,IF(FC69=1,MIN(EK69,FF69),EK69),IF(FC69=1,FF69,DJ69))</f>
        <v>43406</v>
      </c>
      <c r="FR69" s="13">
        <f>(FQ69-$I69)/365.25*12</f>
        <v>3.8110882956878851</v>
      </c>
      <c r="FU69" s="1">
        <v>0</v>
      </c>
      <c r="FV69" s="1">
        <v>0</v>
      </c>
      <c r="FW69" s="1">
        <v>0</v>
      </c>
      <c r="FX69" s="1">
        <v>0</v>
      </c>
      <c r="GA69" s="1">
        <v>0.5</v>
      </c>
      <c r="GB69" s="1">
        <v>0.5</v>
      </c>
      <c r="GC69" s="1">
        <v>60.6479</v>
      </c>
      <c r="GD69" s="1">
        <v>39.783299999999997</v>
      </c>
      <c r="GE69" s="25">
        <v>0</v>
      </c>
      <c r="GF69" s="25">
        <v>0</v>
      </c>
      <c r="GG69" s="1">
        <v>100.5308</v>
      </c>
      <c r="GH69" s="24">
        <v>43.633899999999997</v>
      </c>
    </row>
    <row r="70" spans="1:190" ht="12.75" customHeight="1">
      <c r="A70" s="1" t="s">
        <v>1155</v>
      </c>
      <c r="B70" s="15" t="s">
        <v>1154</v>
      </c>
      <c r="C70" s="1">
        <v>22320836</v>
      </c>
      <c r="D70" s="1">
        <v>0</v>
      </c>
      <c r="E70" s="1">
        <v>0</v>
      </c>
      <c r="F70" s="1">
        <v>1</v>
      </c>
      <c r="G70" s="12">
        <v>1</v>
      </c>
      <c r="I70" s="3">
        <v>42528</v>
      </c>
      <c r="J70" s="3">
        <v>42508</v>
      </c>
      <c r="K70" s="3">
        <v>17359</v>
      </c>
      <c r="L70" s="5">
        <f>(DAYS360(K70,I70))/365</f>
        <v>67.961643835616442</v>
      </c>
      <c r="M70" s="1" t="s">
        <v>5</v>
      </c>
      <c r="N70" s="1">
        <v>0</v>
      </c>
      <c r="O70" s="1">
        <v>0</v>
      </c>
      <c r="P70" s="1" t="s">
        <v>81</v>
      </c>
      <c r="Q70" s="1">
        <v>2</v>
      </c>
      <c r="R70" s="1" t="s">
        <v>18</v>
      </c>
      <c r="S70" s="1" t="s">
        <v>1153</v>
      </c>
      <c r="T70" s="1" t="s">
        <v>67</v>
      </c>
      <c r="U70" s="1">
        <v>0</v>
      </c>
      <c r="V70" s="1">
        <v>0</v>
      </c>
      <c r="W70" s="1">
        <v>1</v>
      </c>
      <c r="X70" s="1" t="s">
        <v>243</v>
      </c>
      <c r="Y70" s="1">
        <v>3</v>
      </c>
      <c r="Z70" s="1">
        <v>1</v>
      </c>
      <c r="AA70" s="1" t="s">
        <v>96</v>
      </c>
      <c r="AC70" s="1">
        <v>5</v>
      </c>
      <c r="AD70" s="1" t="s">
        <v>1152</v>
      </c>
      <c r="AE70" s="1" t="s">
        <v>1151</v>
      </c>
      <c r="AF70" s="1">
        <v>1</v>
      </c>
      <c r="AG70" s="1">
        <v>1</v>
      </c>
      <c r="AH70" s="1">
        <v>1</v>
      </c>
      <c r="AI70" s="3">
        <v>42528</v>
      </c>
      <c r="AJ70" s="3">
        <v>42562</v>
      </c>
      <c r="AK70" s="6" t="s">
        <v>1150</v>
      </c>
      <c r="AL70" s="6" t="s">
        <v>1149</v>
      </c>
      <c r="AM70" s="1">
        <v>0</v>
      </c>
      <c r="AN70" s="1">
        <v>0</v>
      </c>
      <c r="AO70" s="1">
        <v>0</v>
      </c>
      <c r="AP70" s="1">
        <v>0</v>
      </c>
      <c r="AQ70" s="1">
        <v>0</v>
      </c>
      <c r="AR70" s="1">
        <v>0</v>
      </c>
      <c r="AS70" s="1">
        <v>0</v>
      </c>
      <c r="AT70" s="1">
        <v>0</v>
      </c>
      <c r="AU70" s="6" t="s">
        <v>326</v>
      </c>
      <c r="AV70" s="1">
        <v>0.5</v>
      </c>
      <c r="AW70" s="1"/>
      <c r="AX70" s="6" t="s">
        <v>45</v>
      </c>
      <c r="AY70" s="6" t="s">
        <v>45</v>
      </c>
      <c r="AZ70" s="1">
        <v>0.7</v>
      </c>
      <c r="BA70" s="1">
        <f>2.8+6.5+0.3</f>
        <v>9.6000000000000014</v>
      </c>
      <c r="BB70" s="1">
        <v>341.9</v>
      </c>
      <c r="BC70" s="1">
        <f>7-3.1+0.3</f>
        <v>4.2</v>
      </c>
      <c r="BD70" s="1">
        <v>2</v>
      </c>
      <c r="BE70" s="1">
        <v>663.9</v>
      </c>
      <c r="BF70" s="6" t="s">
        <v>1149</v>
      </c>
      <c r="BG70" s="1">
        <v>45</v>
      </c>
      <c r="BH70" s="1">
        <v>45</v>
      </c>
      <c r="BI70" s="1">
        <v>0</v>
      </c>
      <c r="BJ70" s="1">
        <v>0</v>
      </c>
      <c r="BK70" s="1">
        <f>BH70+BI70</f>
        <v>45</v>
      </c>
      <c r="BL70" s="1">
        <v>25</v>
      </c>
      <c r="BM70" s="1">
        <v>1.8</v>
      </c>
      <c r="BN70" s="1" t="s">
        <v>110</v>
      </c>
      <c r="BO70" s="1">
        <v>0</v>
      </c>
      <c r="BP70" s="1">
        <v>1</v>
      </c>
      <c r="BQ70" s="1">
        <v>1</v>
      </c>
      <c r="BR70" s="3">
        <v>42528</v>
      </c>
      <c r="BS70" s="1" t="s">
        <v>61</v>
      </c>
      <c r="BT70" s="12" t="s">
        <v>60</v>
      </c>
      <c r="BU70" s="1">
        <v>4</v>
      </c>
      <c r="BV70" s="1">
        <v>0</v>
      </c>
      <c r="BW70" s="1">
        <v>24.55</v>
      </c>
      <c r="BX70" s="1">
        <v>0.77</v>
      </c>
      <c r="BY70" s="1">
        <v>0.1</v>
      </c>
      <c r="BZ70" s="1">
        <v>11.3</v>
      </c>
      <c r="CA70" s="1">
        <v>384</v>
      </c>
      <c r="CB70" s="1">
        <v>1.58</v>
      </c>
      <c r="CC70" s="1">
        <v>13.8</v>
      </c>
      <c r="CD70" s="1">
        <v>5.0999999999999996</v>
      </c>
      <c r="CE70" s="1">
        <v>1</v>
      </c>
      <c r="CF70" s="3">
        <v>42598</v>
      </c>
      <c r="CG70" s="7">
        <f>CF70-AJ70</f>
        <v>36</v>
      </c>
      <c r="CH70" s="1" t="s">
        <v>1148</v>
      </c>
      <c r="CI70" s="12" t="s">
        <v>183</v>
      </c>
      <c r="CJ70" s="17" t="s">
        <v>182</v>
      </c>
      <c r="CK70" s="1" t="s">
        <v>811</v>
      </c>
      <c r="CL70" s="1" t="s">
        <v>45</v>
      </c>
      <c r="CM70" s="1">
        <v>1</v>
      </c>
      <c r="CN70" s="12" t="str">
        <f>MID(CK70,4,1)</f>
        <v>0</v>
      </c>
      <c r="CO70" s="1" t="s">
        <v>1025</v>
      </c>
      <c r="CP70" s="1">
        <v>0</v>
      </c>
      <c r="CQ70" s="1" t="s">
        <v>45</v>
      </c>
      <c r="CR70" s="1">
        <v>0</v>
      </c>
      <c r="CS70" s="1" t="s">
        <v>45</v>
      </c>
      <c r="CT70" s="1" t="s">
        <v>45</v>
      </c>
      <c r="CU70" s="1" t="s">
        <v>45</v>
      </c>
      <c r="CV70" s="1">
        <v>0</v>
      </c>
      <c r="CW70" s="1" t="s">
        <v>45</v>
      </c>
      <c r="CX70" s="1" t="s">
        <v>45</v>
      </c>
      <c r="CY70" s="1" t="s">
        <v>45</v>
      </c>
      <c r="CZ70" s="1">
        <v>0</v>
      </c>
      <c r="DA70" s="1">
        <v>50</v>
      </c>
      <c r="DB70" s="2">
        <f>CZ70/DA70*100</f>
        <v>0</v>
      </c>
      <c r="DC70" s="1" t="s">
        <v>45</v>
      </c>
      <c r="DD70" s="1" t="s">
        <v>45</v>
      </c>
      <c r="DE70" s="1" t="s">
        <v>45</v>
      </c>
      <c r="DF70" s="1" t="s">
        <v>45</v>
      </c>
      <c r="DG70" s="26" t="s">
        <v>1147</v>
      </c>
      <c r="DH70" s="7">
        <v>0</v>
      </c>
      <c r="DI70" s="7">
        <v>0</v>
      </c>
      <c r="DJ70" s="3">
        <v>44307</v>
      </c>
      <c r="DK70" s="1" t="s">
        <v>75</v>
      </c>
      <c r="DL70" s="12">
        <f>(DJ70-I70)/365.25*12</f>
        <v>58.447638603696099</v>
      </c>
      <c r="DM70" s="1">
        <v>0</v>
      </c>
      <c r="DN70" s="1" t="s">
        <v>45</v>
      </c>
      <c r="DO70" s="1" t="s">
        <v>45</v>
      </c>
      <c r="DP70" s="6" t="s">
        <v>45</v>
      </c>
      <c r="DQ70" s="7">
        <v>0</v>
      </c>
      <c r="DR70" s="3" t="s">
        <v>45</v>
      </c>
      <c r="DS70" s="10">
        <f>IF(DQ70=1, (DR70-$I70)/365.25*12, IF(DQ70=0, $DL70, "ERROR"))</f>
        <v>58.447638603696099</v>
      </c>
      <c r="DT70" s="7">
        <v>0</v>
      </c>
      <c r="DU70" s="7">
        <v>0</v>
      </c>
      <c r="DV70" s="7">
        <v>0</v>
      </c>
      <c r="DW70" s="16">
        <f>DU70*(1-DV70)</f>
        <v>0</v>
      </c>
      <c r="DX70" s="16">
        <f>(1-DU70)*DV70</f>
        <v>0</v>
      </c>
      <c r="DY70" s="16">
        <f>DU70*DV70</f>
        <v>0</v>
      </c>
      <c r="DZ70" s="3" t="s">
        <v>45</v>
      </c>
      <c r="EA70" s="10">
        <f>IF(DT70=1, (DZ70-$I70)/365.25*12, IF(DT70=0, $DL70, "ERROR"))</f>
        <v>58.447638603696099</v>
      </c>
      <c r="EB70" s="7">
        <v>0</v>
      </c>
      <c r="EC70" s="7">
        <v>0</v>
      </c>
      <c r="ED70" s="16">
        <f>1-((1-DQ70)*(1-DT70))</f>
        <v>0</v>
      </c>
      <c r="EE70" s="11" t="s">
        <v>45</v>
      </c>
      <c r="EF70" s="1" t="s">
        <v>45</v>
      </c>
      <c r="EG70" s="7" t="s">
        <v>45</v>
      </c>
      <c r="EH70" s="1" t="s">
        <v>45</v>
      </c>
      <c r="EI70" s="1">
        <v>0</v>
      </c>
      <c r="EJ70" s="16">
        <f>(1-DQ70)*DX70*(1-EI70)</f>
        <v>0</v>
      </c>
      <c r="EK70" s="1" t="s">
        <v>45</v>
      </c>
      <c r="EL70" s="10">
        <f>IF(EI70=1, (EK70-$I70)/365.25*12, IF(EI70=0, $DL70, "ERROR"))</f>
        <v>58.447638603696099</v>
      </c>
      <c r="EM70" s="1" t="s">
        <v>45</v>
      </c>
      <c r="EN70" s="1">
        <v>0</v>
      </c>
      <c r="EO70" s="1">
        <v>0</v>
      </c>
      <c r="EP70" s="1">
        <v>0</v>
      </c>
      <c r="EQ70" s="1">
        <v>0</v>
      </c>
      <c r="ER70" s="1">
        <v>0</v>
      </c>
      <c r="ES70" s="1">
        <v>0</v>
      </c>
      <c r="ET70" s="1">
        <v>0</v>
      </c>
      <c r="EU70" s="1">
        <v>0</v>
      </c>
      <c r="EV70" s="1">
        <v>0</v>
      </c>
      <c r="EW70" s="1">
        <f>1-((1-EP70)*(1-ET70)*(1-EU70)*(1-EV70))</f>
        <v>0</v>
      </c>
      <c r="EX70" s="7">
        <v>0</v>
      </c>
      <c r="EY70" s="7">
        <v>0</v>
      </c>
      <c r="EZ70" s="7">
        <v>0</v>
      </c>
      <c r="FA70" s="7">
        <v>0</v>
      </c>
      <c r="FB70" s="1" t="s">
        <v>45</v>
      </c>
      <c r="FC70" s="1">
        <v>0</v>
      </c>
      <c r="FD70" s="1">
        <v>1</v>
      </c>
      <c r="FF70" s="1" t="s">
        <v>45</v>
      </c>
      <c r="FG70" s="3">
        <f>IF(FC70=1, FF70, IF(FD70=1, 44348, DJ70))</f>
        <v>44348</v>
      </c>
      <c r="FH70" s="13">
        <f>(FG70-I70)/365.25*12</f>
        <v>59.794661190965101</v>
      </c>
      <c r="FI70" s="20">
        <f>IF(DM70=1, (DO70-I70)/365.25*12, IF(DM70=0, DL70, "ERROR"))</f>
        <v>58.447638603696099</v>
      </c>
      <c r="FJ70" s="14">
        <f>IF(OR(DM70,FC70), 1, 0)</f>
        <v>0</v>
      </c>
      <c r="FK70" s="11">
        <f>IF(DM70=1,IF(FC70=1,MIN(DO70,FF70),DO70),IF(FC70=1,FF70,DJ70))</f>
        <v>44307</v>
      </c>
      <c r="FL70" s="13">
        <f>(FK70-$I70)/365.25*12</f>
        <v>58.447638603696099</v>
      </c>
      <c r="FM70" s="14">
        <f>IF(OR(ED70,FC70), 1, 0)</f>
        <v>0</v>
      </c>
      <c r="FN70" s="11">
        <f>IF(ED70=1,IF(FC70=1,MIN(EE70,FF70),EE70),IF(FC70=1,FF70,DJ70))</f>
        <v>44307</v>
      </c>
      <c r="FO70" s="13">
        <f>(FN70-$I70)/365.25*12</f>
        <v>58.447638603696099</v>
      </c>
      <c r="FP70" s="14">
        <f>IF(OR(EI70,FC70), 1, 0)</f>
        <v>0</v>
      </c>
      <c r="FQ70" s="11">
        <f>IF(EI70=1,IF(FC70=1,MIN(EK70,FF70),EK70),IF(FC70=1,FF70,DJ70))</f>
        <v>44307</v>
      </c>
      <c r="FR70" s="13">
        <f>(FQ70-$I70)/365.25*12</f>
        <v>58.447638603696099</v>
      </c>
      <c r="FU70" s="1">
        <v>0</v>
      </c>
      <c r="FV70" s="1">
        <v>0</v>
      </c>
      <c r="FW70" s="1">
        <v>0</v>
      </c>
      <c r="FX70" s="1">
        <v>0</v>
      </c>
      <c r="FY70" s="1" t="s">
        <v>1146</v>
      </c>
      <c r="GA70" s="1">
        <v>10</v>
      </c>
      <c r="GB70" s="1">
        <v>10</v>
      </c>
      <c r="GC70" s="1">
        <v>608.93119999999999</v>
      </c>
      <c r="GD70" s="1">
        <v>140.83170000000001</v>
      </c>
      <c r="GE70" s="25">
        <v>10</v>
      </c>
      <c r="GF70" s="25">
        <v>10</v>
      </c>
      <c r="GG70" s="1">
        <v>1176.5165999999999</v>
      </c>
      <c r="GH70" s="24">
        <v>1516.6478999999999</v>
      </c>
    </row>
    <row r="71" spans="1:190" ht="12.75" customHeight="1">
      <c r="A71" s="1" t="s">
        <v>1269</v>
      </c>
      <c r="B71" s="15" t="s">
        <v>1268</v>
      </c>
      <c r="C71" s="1">
        <v>32221501</v>
      </c>
      <c r="D71" s="1">
        <v>0</v>
      </c>
      <c r="E71" s="1">
        <v>0</v>
      </c>
      <c r="F71" s="1">
        <v>1</v>
      </c>
      <c r="G71" s="12">
        <v>1</v>
      </c>
      <c r="I71" s="3">
        <v>40462</v>
      </c>
      <c r="J71" s="3">
        <v>40438</v>
      </c>
      <c r="K71" s="3">
        <v>14534</v>
      </c>
      <c r="L71" s="5">
        <f>(DAYS360(K71,I71))/365</f>
        <v>70.013698630136986</v>
      </c>
      <c r="M71" s="1" t="s">
        <v>5</v>
      </c>
      <c r="N71" s="1">
        <v>1</v>
      </c>
      <c r="O71" s="1">
        <v>0</v>
      </c>
      <c r="P71" s="1" t="s">
        <v>45</v>
      </c>
      <c r="R71" s="1" t="s">
        <v>209</v>
      </c>
      <c r="S71" s="1">
        <v>30</v>
      </c>
      <c r="T71" s="1" t="s">
        <v>80</v>
      </c>
      <c r="U71" s="1">
        <v>0</v>
      </c>
      <c r="V71" s="1">
        <v>1</v>
      </c>
      <c r="W71" s="1">
        <v>0</v>
      </c>
      <c r="X71" s="1" t="s">
        <v>117</v>
      </c>
      <c r="Y71" s="1">
        <v>3</v>
      </c>
      <c r="Z71" s="1">
        <v>1</v>
      </c>
      <c r="AA71" s="1" t="s">
        <v>116</v>
      </c>
      <c r="AC71" s="1">
        <v>3</v>
      </c>
      <c r="AD71" s="1" t="s">
        <v>1267</v>
      </c>
      <c r="AE71" s="1" t="s">
        <v>114</v>
      </c>
      <c r="AF71" s="1">
        <v>0</v>
      </c>
      <c r="AG71" s="1">
        <v>0</v>
      </c>
      <c r="AH71" s="1">
        <v>0</v>
      </c>
      <c r="AI71" s="3">
        <v>40462</v>
      </c>
      <c r="AJ71" s="3">
        <v>40500</v>
      </c>
      <c r="AK71" s="6" t="s">
        <v>1266</v>
      </c>
      <c r="AL71" s="6" t="s">
        <v>123</v>
      </c>
      <c r="AM71" s="1">
        <v>0</v>
      </c>
      <c r="AN71" s="1">
        <v>0</v>
      </c>
      <c r="AO71" s="1">
        <v>0</v>
      </c>
      <c r="AP71" s="1">
        <v>0</v>
      </c>
      <c r="AQ71" s="1">
        <v>0</v>
      </c>
      <c r="AR71" s="1">
        <v>0</v>
      </c>
      <c r="AS71" s="12">
        <f>IF(AND(AM71=0,AU71&lt;=2), 1, 0)</f>
        <v>0</v>
      </c>
      <c r="AT71" s="12">
        <v>0</v>
      </c>
      <c r="AU71" s="1">
        <v>3</v>
      </c>
      <c r="AV71" s="1">
        <v>1</v>
      </c>
      <c r="AW71" s="1"/>
      <c r="AX71" s="1">
        <v>1</v>
      </c>
      <c r="AY71" s="1">
        <v>1</v>
      </c>
      <c r="AZ71" s="1">
        <v>0.5</v>
      </c>
      <c r="BA71" s="1">
        <f>4.5+1.5+0.5</f>
        <v>6.5</v>
      </c>
      <c r="BB71" s="1">
        <v>182.9</v>
      </c>
      <c r="BC71" s="1">
        <f>10.5-5.5+0.5</f>
        <v>5.5</v>
      </c>
      <c r="BD71" s="1">
        <v>3</v>
      </c>
      <c r="BF71" s="1" t="s">
        <v>123</v>
      </c>
      <c r="BG71" s="1" t="s">
        <v>1253</v>
      </c>
      <c r="BH71" s="1">
        <v>45</v>
      </c>
      <c r="BI71" s="1">
        <v>5.4</v>
      </c>
      <c r="BJ71" s="1">
        <v>1</v>
      </c>
      <c r="BK71" s="1">
        <f>BH71+BI71</f>
        <v>50.4</v>
      </c>
      <c r="BL71" s="1">
        <v>28</v>
      </c>
      <c r="BM71" s="1">
        <v>1.8</v>
      </c>
      <c r="BN71" s="1" t="s">
        <v>110</v>
      </c>
      <c r="BO71" s="1">
        <v>0</v>
      </c>
      <c r="BP71" s="1">
        <v>1</v>
      </c>
      <c r="BQ71" s="1">
        <v>1</v>
      </c>
      <c r="BR71" s="3">
        <v>40462</v>
      </c>
      <c r="BS71" s="1" t="s">
        <v>1265</v>
      </c>
      <c r="BT71" s="1" t="s">
        <v>1264</v>
      </c>
      <c r="BU71" s="1">
        <v>6</v>
      </c>
      <c r="BV71" s="1">
        <v>1</v>
      </c>
      <c r="BW71" s="1">
        <v>5.7</v>
      </c>
      <c r="BX71" s="1">
        <v>0.58599999999999997</v>
      </c>
      <c r="BY71" s="1">
        <v>0.30199999999999999</v>
      </c>
      <c r="BZ71" s="1">
        <v>13.1</v>
      </c>
      <c r="CA71" s="1">
        <v>235</v>
      </c>
      <c r="CB71" s="1">
        <v>1.66</v>
      </c>
      <c r="CC71" s="1">
        <v>14.4</v>
      </c>
      <c r="CD71" s="1">
        <v>7.1</v>
      </c>
      <c r="CE71" s="1">
        <v>1</v>
      </c>
      <c r="CF71" s="3">
        <v>40546</v>
      </c>
      <c r="CG71" s="7">
        <f>CF71-AJ71</f>
        <v>46</v>
      </c>
      <c r="CH71" s="1" t="s">
        <v>1263</v>
      </c>
      <c r="CI71" s="17" t="s">
        <v>460</v>
      </c>
      <c r="CJ71" s="1" t="s">
        <v>515</v>
      </c>
      <c r="CK71" s="1" t="s">
        <v>771</v>
      </c>
      <c r="CL71" s="1" t="s">
        <v>45</v>
      </c>
      <c r="CM71" s="1">
        <v>0</v>
      </c>
      <c r="CN71" s="12" t="str">
        <f>MID(CK71,4,1)</f>
        <v>0</v>
      </c>
      <c r="CO71" s="1" t="s">
        <v>45</v>
      </c>
      <c r="CP71" s="1" t="s">
        <v>45</v>
      </c>
      <c r="CQ71" s="1" t="s">
        <v>45</v>
      </c>
      <c r="CR71" s="1">
        <v>0</v>
      </c>
      <c r="CS71" s="1" t="s">
        <v>45</v>
      </c>
      <c r="CT71" s="1" t="s">
        <v>45</v>
      </c>
      <c r="CU71" s="1" t="s">
        <v>45</v>
      </c>
      <c r="CV71" s="1">
        <v>0</v>
      </c>
      <c r="CW71" s="1" t="s">
        <v>45</v>
      </c>
      <c r="CX71" s="1" t="s">
        <v>45</v>
      </c>
      <c r="CY71" s="1" t="s">
        <v>45</v>
      </c>
      <c r="CZ71" s="1">
        <v>2</v>
      </c>
      <c r="DA71" s="1">
        <v>103</v>
      </c>
      <c r="DB71" s="2">
        <f>CZ71/DA71*100</f>
        <v>1.9417475728155338</v>
      </c>
      <c r="DC71" s="1" t="s">
        <v>45</v>
      </c>
      <c r="DD71" s="1" t="s">
        <v>45</v>
      </c>
      <c r="DE71" s="1" t="s">
        <v>45</v>
      </c>
      <c r="DF71" s="1" t="s">
        <v>45</v>
      </c>
      <c r="DG71" s="26" t="s">
        <v>1262</v>
      </c>
      <c r="DH71" s="7">
        <v>0</v>
      </c>
      <c r="DI71" s="7">
        <v>0</v>
      </c>
      <c r="DJ71" s="3">
        <v>41484</v>
      </c>
      <c r="DK71" s="1" t="s">
        <v>1248</v>
      </c>
      <c r="DL71" s="12">
        <f>(DJ71-I71)/365.25*12</f>
        <v>33.577002053388092</v>
      </c>
      <c r="DM71" s="1">
        <v>1</v>
      </c>
      <c r="DN71" s="1" t="s">
        <v>1258</v>
      </c>
      <c r="DO71" s="3">
        <v>40533</v>
      </c>
      <c r="DP71" s="6" t="s">
        <v>1261</v>
      </c>
      <c r="DQ71" s="7">
        <v>0</v>
      </c>
      <c r="DR71" s="3" t="s">
        <v>45</v>
      </c>
      <c r="DS71" s="10">
        <f>IF(DQ71=1, (DR71-$I71)/365.25*12, IF(DQ71=0, $DL71, "ERROR"))</f>
        <v>33.577002053388092</v>
      </c>
      <c r="DT71" s="7">
        <v>1</v>
      </c>
      <c r="DU71" s="7">
        <v>0</v>
      </c>
      <c r="DV71" s="7">
        <v>1</v>
      </c>
      <c r="DW71" s="16">
        <f>DU71*(1-DV71)</f>
        <v>0</v>
      </c>
      <c r="DX71" s="16">
        <f>(1-DU71)*DV71</f>
        <v>1</v>
      </c>
      <c r="DY71" s="16">
        <f>DU71*DV71</f>
        <v>0</v>
      </c>
      <c r="DZ71" s="3">
        <v>41330</v>
      </c>
      <c r="EA71" s="10">
        <f>IF(DT71=1, (DZ71-$I71)/365.25*12, IF(DT71=0, $DL71, "ERROR"))</f>
        <v>28.517453798767967</v>
      </c>
      <c r="EB71" s="7">
        <v>1</v>
      </c>
      <c r="EC71" s="7">
        <v>0</v>
      </c>
      <c r="ED71" s="16">
        <f>1-((1-DQ71)*(1-DT71))</f>
        <v>1</v>
      </c>
      <c r="EE71" s="11">
        <f>MIN(DR71,DZ71)</f>
        <v>41330</v>
      </c>
      <c r="EF71" s="1" t="s">
        <v>1260</v>
      </c>
      <c r="EG71" s="7" t="s">
        <v>49</v>
      </c>
      <c r="EH71" s="1" t="s">
        <v>1259</v>
      </c>
      <c r="EI71" s="1">
        <v>1</v>
      </c>
      <c r="EJ71" s="16">
        <f>(1-DQ71)*DX71*(1-EI71)</f>
        <v>0</v>
      </c>
      <c r="EK71" s="3">
        <v>40533</v>
      </c>
      <c r="EL71" s="10">
        <f>IF(EI71=1, (EK71-$I71)/365.25*12, IF(EI71=0, $DL71, "ERROR"))</f>
        <v>2.3326488706365502</v>
      </c>
      <c r="EM71" s="1" t="s">
        <v>1258</v>
      </c>
      <c r="EN71" s="7">
        <v>1</v>
      </c>
      <c r="EO71" s="7">
        <v>1</v>
      </c>
      <c r="EP71" s="7">
        <v>0</v>
      </c>
      <c r="EQ71" s="7">
        <v>0</v>
      </c>
      <c r="ER71" s="7">
        <v>0</v>
      </c>
      <c r="ES71" s="7">
        <v>1</v>
      </c>
      <c r="ET71" s="7">
        <v>0</v>
      </c>
      <c r="EU71" s="7">
        <v>0</v>
      </c>
      <c r="EV71" s="7">
        <v>0</v>
      </c>
      <c r="EW71" s="1">
        <f>1-((1-EP71)*(1-ET71)*(1-EU71)*(1-EV71))</f>
        <v>0</v>
      </c>
      <c r="EX71" s="7">
        <v>1</v>
      </c>
      <c r="EY71" s="7">
        <v>1</v>
      </c>
      <c r="EZ71" s="7">
        <v>0</v>
      </c>
      <c r="FA71" s="7">
        <v>0</v>
      </c>
      <c r="FB71" s="1" t="s">
        <v>45</v>
      </c>
      <c r="FC71" s="1">
        <v>1</v>
      </c>
      <c r="FD71" s="1">
        <v>1</v>
      </c>
      <c r="FF71" s="3">
        <v>41494</v>
      </c>
      <c r="FG71" s="3">
        <f>IF(FC71=1, FF71, IF(FD71=1, 44348, DJ71))</f>
        <v>41494</v>
      </c>
      <c r="FH71" s="13">
        <f>(FG71-I71)/365.25*12</f>
        <v>33.905544147843941</v>
      </c>
      <c r="FI71" s="20">
        <f>IF(DM71=1, (DO71-I71)/365.25*12, IF(DM71=0, DL71, "ERROR"))</f>
        <v>2.3326488706365502</v>
      </c>
      <c r="FJ71" s="14">
        <f>IF(OR(DM71,FC71), 1, 0)</f>
        <v>1</v>
      </c>
      <c r="FK71" s="11">
        <f>IF(DM71=1,IF(FC71=1,MIN(DO71,FF71),DO71),IF(FC71=1,FF71,DJ71))</f>
        <v>40533</v>
      </c>
      <c r="FL71" s="13">
        <f>(FK71-$I71)/365.25*12</f>
        <v>2.3326488706365502</v>
      </c>
      <c r="FM71" s="14">
        <f>IF(OR(ED71,FC71), 1, 0)</f>
        <v>1</v>
      </c>
      <c r="FN71" s="11">
        <f>IF(ED71=1,IF(FC71=1,MIN(EE71,FF71),EE71),IF(FC71=1,FF71,DJ71))</f>
        <v>41330</v>
      </c>
      <c r="FO71" s="13">
        <f>(FN71-$I71)/365.25*12</f>
        <v>28.517453798767967</v>
      </c>
      <c r="FP71" s="14">
        <f>IF(OR(EI71,FC71), 1, 0)</f>
        <v>1</v>
      </c>
      <c r="FQ71" s="11">
        <f>IF(EI71=1,IF(FC71=1,MIN(EK71,FF71),EK71),IF(FC71=1,FF71,DJ71))</f>
        <v>40533</v>
      </c>
      <c r="FR71" s="13">
        <f>(FQ71-$I71)/365.25*12</f>
        <v>2.3326488706365502</v>
      </c>
      <c r="FU71" s="1">
        <v>0</v>
      </c>
      <c r="FV71" s="1">
        <v>0</v>
      </c>
      <c r="FW71" s="1">
        <v>0</v>
      </c>
      <c r="FX71" s="1">
        <v>0</v>
      </c>
      <c r="GA71" s="1">
        <v>1</v>
      </c>
      <c r="GB71" s="1">
        <v>1</v>
      </c>
      <c r="GC71" s="1">
        <v>504.05349999999999</v>
      </c>
      <c r="GD71" s="1">
        <v>64.601500000000001</v>
      </c>
      <c r="GE71" s="25">
        <v>10</v>
      </c>
      <c r="GF71" s="25">
        <v>10</v>
      </c>
      <c r="GG71" s="1">
        <v>1245.4099000000001</v>
      </c>
      <c r="GH71" s="24">
        <v>1155.8683000000001</v>
      </c>
    </row>
    <row r="72" spans="1:190" ht="12.75" customHeight="1">
      <c r="A72" s="1" t="s">
        <v>1047</v>
      </c>
      <c r="B72" s="15" t="s">
        <v>1046</v>
      </c>
      <c r="C72" s="1">
        <v>33263762</v>
      </c>
      <c r="D72" s="1">
        <v>0</v>
      </c>
      <c r="E72" s="1">
        <v>0</v>
      </c>
      <c r="F72" s="1">
        <v>1</v>
      </c>
      <c r="G72" s="12">
        <v>1</v>
      </c>
      <c r="I72" s="3">
        <v>42954</v>
      </c>
      <c r="J72" s="3">
        <v>42922</v>
      </c>
      <c r="K72" s="3">
        <v>19491</v>
      </c>
      <c r="L72" s="5">
        <f>(DAYS360(K72,I72))/365</f>
        <v>63.356164383561641</v>
      </c>
      <c r="M72" s="1" t="s">
        <v>1</v>
      </c>
      <c r="N72" s="1">
        <v>0</v>
      </c>
      <c r="O72" s="1">
        <v>0</v>
      </c>
      <c r="P72" s="1" t="s">
        <v>161</v>
      </c>
      <c r="Q72" s="1">
        <v>0</v>
      </c>
      <c r="R72" s="1" t="s">
        <v>18</v>
      </c>
      <c r="S72" s="1">
        <v>22</v>
      </c>
      <c r="T72" s="1" t="s">
        <v>80</v>
      </c>
      <c r="U72" s="1">
        <v>0</v>
      </c>
      <c r="V72" s="1">
        <v>1</v>
      </c>
      <c r="W72" s="1">
        <v>0</v>
      </c>
      <c r="X72" s="1" t="s">
        <v>955</v>
      </c>
      <c r="Y72" s="1">
        <v>2</v>
      </c>
      <c r="Z72" s="1">
        <v>2</v>
      </c>
      <c r="AA72" s="1" t="s">
        <v>116</v>
      </c>
      <c r="AC72" s="1">
        <v>3</v>
      </c>
      <c r="AD72" s="1" t="s">
        <v>1045</v>
      </c>
      <c r="AE72" s="1" t="s">
        <v>114</v>
      </c>
      <c r="AF72" s="1">
        <v>0</v>
      </c>
      <c r="AG72" s="1">
        <v>0</v>
      </c>
      <c r="AH72" s="1">
        <v>0</v>
      </c>
      <c r="AI72" s="3">
        <v>42954</v>
      </c>
      <c r="AJ72" s="3">
        <v>42989</v>
      </c>
      <c r="AK72" s="6" t="s">
        <v>1044</v>
      </c>
      <c r="AL72" s="6" t="s">
        <v>172</v>
      </c>
      <c r="AM72" s="1">
        <v>1</v>
      </c>
      <c r="AN72" s="1">
        <v>0</v>
      </c>
      <c r="AO72" s="1">
        <v>1</v>
      </c>
      <c r="AP72" s="1">
        <v>0</v>
      </c>
      <c r="AQ72" s="1">
        <v>0</v>
      </c>
      <c r="AR72" s="1">
        <v>0</v>
      </c>
      <c r="AS72" s="12">
        <f>IF(AND(AM72=0,AU72&lt;=2), 1, 0)</f>
        <v>0</v>
      </c>
      <c r="AT72" s="12">
        <v>0</v>
      </c>
      <c r="AU72" s="1">
        <v>3</v>
      </c>
      <c r="AV72" s="1">
        <v>0.5</v>
      </c>
      <c r="AW72" s="1"/>
      <c r="AX72" s="6" t="s">
        <v>45</v>
      </c>
      <c r="AY72" s="6" t="s">
        <v>45</v>
      </c>
      <c r="AZ72" s="1">
        <v>0.7</v>
      </c>
      <c r="BA72" s="1">
        <v>3.3</v>
      </c>
      <c r="BB72" s="1">
        <v>214.2</v>
      </c>
      <c r="BC72" s="1">
        <v>2</v>
      </c>
      <c r="BD72" s="1">
        <v>3</v>
      </c>
      <c r="BE72" s="1">
        <v>443.2</v>
      </c>
      <c r="BF72" s="6" t="s">
        <v>1043</v>
      </c>
      <c r="BG72" s="1">
        <v>45</v>
      </c>
      <c r="BH72" s="1">
        <v>45</v>
      </c>
      <c r="BI72" s="1">
        <v>0</v>
      </c>
      <c r="BJ72" s="1">
        <v>0</v>
      </c>
      <c r="BK72" s="1">
        <f>BH72+BI72</f>
        <v>45</v>
      </c>
      <c r="BL72" s="1">
        <v>25</v>
      </c>
      <c r="BM72" s="1">
        <v>1.8</v>
      </c>
      <c r="BN72" s="1" t="s">
        <v>62</v>
      </c>
      <c r="BO72" s="1">
        <v>1</v>
      </c>
      <c r="BP72" s="1">
        <v>1</v>
      </c>
      <c r="BQ72" s="1">
        <v>1</v>
      </c>
      <c r="BR72" s="3">
        <v>42954</v>
      </c>
      <c r="BS72" s="1" t="s">
        <v>61</v>
      </c>
      <c r="BT72" s="12" t="s">
        <v>60</v>
      </c>
      <c r="BU72" s="1">
        <v>5</v>
      </c>
      <c r="BV72" s="1">
        <v>1</v>
      </c>
      <c r="BW72" s="1">
        <v>4.5999999999999996</v>
      </c>
      <c r="BX72" s="1">
        <v>0.52100000000000002</v>
      </c>
      <c r="BY72" s="1">
        <v>0.29599999999999999</v>
      </c>
      <c r="BZ72" s="1">
        <v>12.4</v>
      </c>
      <c r="CA72" s="1">
        <v>123</v>
      </c>
      <c r="CB72" s="1">
        <v>1.84</v>
      </c>
      <c r="CC72" s="1">
        <v>25.6</v>
      </c>
      <c r="CD72" s="1">
        <v>8.3000000000000007</v>
      </c>
      <c r="CE72" s="1">
        <v>1</v>
      </c>
      <c r="CF72" s="3">
        <v>43027</v>
      </c>
      <c r="CG72" s="7">
        <f>CF72-AJ72</f>
        <v>38</v>
      </c>
      <c r="CH72" s="1" t="s">
        <v>1042</v>
      </c>
      <c r="CI72" s="12" t="s">
        <v>183</v>
      </c>
      <c r="CJ72" s="17" t="s">
        <v>182</v>
      </c>
      <c r="CK72" s="1" t="s">
        <v>811</v>
      </c>
      <c r="CL72" s="1" t="s">
        <v>45</v>
      </c>
      <c r="CM72" s="1">
        <v>1</v>
      </c>
      <c r="CN72" s="12" t="str">
        <f>MID(CK72,4,1)</f>
        <v>0</v>
      </c>
      <c r="CO72" s="1" t="s">
        <v>1025</v>
      </c>
      <c r="CP72" s="1">
        <v>0</v>
      </c>
      <c r="CQ72" s="1" t="s">
        <v>45</v>
      </c>
      <c r="CR72" s="1">
        <v>0</v>
      </c>
      <c r="CS72" s="1" t="s">
        <v>45</v>
      </c>
      <c r="CT72" s="1" t="s">
        <v>45</v>
      </c>
      <c r="CU72" s="1" t="s">
        <v>45</v>
      </c>
      <c r="CV72" s="1">
        <v>0</v>
      </c>
      <c r="CW72" s="1" t="s">
        <v>45</v>
      </c>
      <c r="CX72" s="1" t="s">
        <v>45</v>
      </c>
      <c r="CY72" s="1" t="s">
        <v>45</v>
      </c>
      <c r="CZ72" s="1">
        <v>0</v>
      </c>
      <c r="DA72" s="1">
        <v>45</v>
      </c>
      <c r="DB72" s="2">
        <f>CZ72/DA72*100</f>
        <v>0</v>
      </c>
      <c r="DC72" s="1">
        <v>0</v>
      </c>
      <c r="DD72" s="1">
        <v>0</v>
      </c>
      <c r="DE72" s="1">
        <v>0</v>
      </c>
      <c r="DF72" s="1">
        <v>0</v>
      </c>
      <c r="DG72" s="26" t="s">
        <v>1041</v>
      </c>
      <c r="DH72" s="7">
        <v>0</v>
      </c>
      <c r="DI72" s="7">
        <v>0</v>
      </c>
      <c r="DJ72" s="3">
        <v>44881</v>
      </c>
      <c r="DK72" s="1" t="s">
        <v>875</v>
      </c>
      <c r="DL72" s="12">
        <f>(DJ72-I72)/365.25*12</f>
        <v>63.310061601642715</v>
      </c>
      <c r="DM72" s="1">
        <v>0</v>
      </c>
      <c r="DN72" s="1" t="s">
        <v>45</v>
      </c>
      <c r="DO72" s="1" t="s">
        <v>45</v>
      </c>
      <c r="DP72" s="6" t="s">
        <v>45</v>
      </c>
      <c r="DQ72" s="7">
        <v>0</v>
      </c>
      <c r="DR72" s="3" t="s">
        <v>45</v>
      </c>
      <c r="DS72" s="10">
        <f>IF(DQ72=1, (DR72-$I72)/365.25*12, IF(DQ72=0, $DL72, "ERROR"))</f>
        <v>63.310061601642715</v>
      </c>
      <c r="DT72" s="7">
        <v>0</v>
      </c>
      <c r="DU72" s="7">
        <v>0</v>
      </c>
      <c r="DV72" s="7">
        <v>0</v>
      </c>
      <c r="DW72" s="16">
        <f>DU72*(1-DV72)</f>
        <v>0</v>
      </c>
      <c r="DX72" s="16">
        <f>(1-DU72)*DV72</f>
        <v>0</v>
      </c>
      <c r="DY72" s="16">
        <f>DU72*DV72</f>
        <v>0</v>
      </c>
      <c r="DZ72" s="3" t="s">
        <v>45</v>
      </c>
      <c r="EA72" s="10">
        <f>IF(DT72=1, (DZ72-$I72)/365.25*12, IF(DT72=0, $DL72, "ERROR"))</f>
        <v>63.310061601642715</v>
      </c>
      <c r="EB72" s="7">
        <v>0</v>
      </c>
      <c r="EC72" s="7">
        <v>0</v>
      </c>
      <c r="ED72" s="16">
        <f>1-((1-DQ72)*(1-DT72))</f>
        <v>0</v>
      </c>
      <c r="EE72" s="11" t="s">
        <v>45</v>
      </c>
      <c r="EF72" s="1" t="s">
        <v>45</v>
      </c>
      <c r="EG72" s="7" t="s">
        <v>45</v>
      </c>
      <c r="EH72" s="1" t="s">
        <v>45</v>
      </c>
      <c r="EI72" s="1">
        <v>0</v>
      </c>
      <c r="EJ72" s="16">
        <f>(1-DQ72)*DX72*(1-EI72)</f>
        <v>0</v>
      </c>
      <c r="EK72" s="1" t="s">
        <v>45</v>
      </c>
      <c r="EL72" s="10">
        <f>IF(EI72=1, (EK72-$I72)/365.25*12, IF(EI72=0, $DL72, "ERROR"))</f>
        <v>63.310061601642715</v>
      </c>
      <c r="EM72" s="1" t="s">
        <v>45</v>
      </c>
      <c r="EN72" s="1">
        <v>0</v>
      </c>
      <c r="EO72" s="1">
        <v>0</v>
      </c>
      <c r="EP72" s="1">
        <v>0</v>
      </c>
      <c r="EQ72" s="1">
        <v>0</v>
      </c>
      <c r="ER72" s="1">
        <v>0</v>
      </c>
      <c r="ES72" s="1">
        <v>0</v>
      </c>
      <c r="ET72" s="1">
        <v>0</v>
      </c>
      <c r="EU72" s="1">
        <v>0</v>
      </c>
      <c r="EV72" s="1">
        <v>0</v>
      </c>
      <c r="EW72" s="1">
        <f>1-((1-EP72)*(1-ET72)*(1-EU72)*(1-EV72))</f>
        <v>0</v>
      </c>
      <c r="EX72" s="7">
        <v>0</v>
      </c>
      <c r="EY72" s="7">
        <v>0</v>
      </c>
      <c r="EZ72" s="7">
        <v>0</v>
      </c>
      <c r="FA72" s="7">
        <v>0</v>
      </c>
      <c r="FB72" s="1" t="s">
        <v>45</v>
      </c>
      <c r="FC72" s="1">
        <v>0</v>
      </c>
      <c r="FD72" s="1">
        <v>1</v>
      </c>
      <c r="FF72" s="1" t="s">
        <v>45</v>
      </c>
      <c r="FG72" s="3">
        <f>IF(FC72=1, FF72, IF(FD72=1, 44348, DJ72))</f>
        <v>44348</v>
      </c>
      <c r="FH72" s="13">
        <f>(FG72-I72)/365.25*12</f>
        <v>45.798767967145793</v>
      </c>
      <c r="FI72" s="20">
        <f>IF(DM72=1, (DO72-I72)/365.25*12, IF(DM72=0, DL72, "ERROR"))</f>
        <v>63.310061601642715</v>
      </c>
      <c r="FJ72" s="14">
        <f>IF(OR(DM72,FC72), 1, 0)</f>
        <v>0</v>
      </c>
      <c r="FK72" s="11">
        <f>IF(DM72=1,IF(FC72=1,MIN(DO72,FF72),DO72),IF(FC72=1,FF72,DJ72))</f>
        <v>44881</v>
      </c>
      <c r="FL72" s="13">
        <f>(FK72-$I72)/365.25*12</f>
        <v>63.310061601642715</v>
      </c>
      <c r="FM72" s="14">
        <f>IF(OR(ED72,FC72), 1, 0)</f>
        <v>0</v>
      </c>
      <c r="FN72" s="11">
        <f>IF(ED72=1,IF(FC72=1,MIN(EE72,FF72),EE72),IF(FC72=1,FF72,DJ72))</f>
        <v>44881</v>
      </c>
      <c r="FO72" s="13">
        <f>(FN72-$I72)/365.25*12</f>
        <v>63.310061601642715</v>
      </c>
      <c r="FP72" s="14">
        <f>IF(OR(EI72,FC72), 1, 0)</f>
        <v>0</v>
      </c>
      <c r="FQ72" s="11">
        <f>IF(EI72=1,IF(FC72=1,MIN(EK72,FF72),EK72),IF(FC72=1,FF72,DJ72))</f>
        <v>44881</v>
      </c>
      <c r="FR72" s="13">
        <f>(FQ72-$I72)/365.25*12</f>
        <v>63.310061601642715</v>
      </c>
      <c r="FU72" s="1">
        <v>1</v>
      </c>
      <c r="FV72" s="1">
        <v>1</v>
      </c>
      <c r="FW72" s="1">
        <v>0</v>
      </c>
      <c r="FX72" s="1">
        <v>0</v>
      </c>
      <c r="GA72" s="1">
        <v>4</v>
      </c>
      <c r="GB72" s="1">
        <v>3</v>
      </c>
      <c r="GC72" s="1">
        <v>140.8537</v>
      </c>
      <c r="GD72" s="1">
        <v>71.235299999999995</v>
      </c>
      <c r="GE72" s="25">
        <v>5</v>
      </c>
      <c r="GF72" s="25">
        <v>5</v>
      </c>
      <c r="GG72" s="1">
        <v>503.89929999999998</v>
      </c>
      <c r="GH72" s="24">
        <v>300.00170000000003</v>
      </c>
    </row>
    <row r="73" spans="1:190" ht="12.75" customHeight="1">
      <c r="A73" s="1" t="s">
        <v>1732</v>
      </c>
      <c r="B73" s="12" t="s">
        <v>1731</v>
      </c>
      <c r="C73" s="12">
        <v>33677239</v>
      </c>
      <c r="D73" s="12">
        <v>0</v>
      </c>
      <c r="E73" s="12">
        <v>0</v>
      </c>
      <c r="F73" s="12">
        <v>1</v>
      </c>
      <c r="G73" s="12">
        <v>1</v>
      </c>
      <c r="H73" s="21"/>
      <c r="I73" s="11">
        <v>38474</v>
      </c>
      <c r="J73" s="11">
        <v>38423</v>
      </c>
      <c r="K73" s="11">
        <v>12526</v>
      </c>
      <c r="L73" s="20">
        <f>(DAYS360(K73,I73))/365</f>
        <v>70.06849315068493</v>
      </c>
      <c r="M73" s="12" t="s">
        <v>370</v>
      </c>
      <c r="N73" s="12">
        <v>1</v>
      </c>
      <c r="O73" s="12">
        <v>0</v>
      </c>
      <c r="P73" s="12" t="s">
        <v>423</v>
      </c>
      <c r="Q73" s="12">
        <v>1</v>
      </c>
      <c r="R73" s="12" t="s">
        <v>466</v>
      </c>
      <c r="S73" s="12" t="s">
        <v>1730</v>
      </c>
      <c r="T73" s="12" t="s">
        <v>432</v>
      </c>
      <c r="U73" s="12">
        <v>0</v>
      </c>
      <c r="V73" s="12">
        <v>1</v>
      </c>
      <c r="W73" s="12">
        <v>1</v>
      </c>
      <c r="X73" s="12" t="s">
        <v>1729</v>
      </c>
      <c r="Y73" s="12">
        <v>3</v>
      </c>
      <c r="Z73" s="12">
        <v>1</v>
      </c>
      <c r="AA73" s="12" t="s">
        <v>366</v>
      </c>
      <c r="AB73" s="12" t="s">
        <v>365</v>
      </c>
      <c r="AC73" s="12">
        <v>3</v>
      </c>
      <c r="AD73" s="12" t="s">
        <v>1728</v>
      </c>
      <c r="AE73" s="12"/>
      <c r="AF73" s="12">
        <v>0</v>
      </c>
      <c r="AG73" s="12">
        <v>0</v>
      </c>
      <c r="AH73" s="12">
        <v>0</v>
      </c>
      <c r="AI73" s="11">
        <v>38474</v>
      </c>
      <c r="AJ73" s="11">
        <v>38511</v>
      </c>
      <c r="AK73" s="19" t="s">
        <v>357</v>
      </c>
      <c r="AL73" s="19" t="s">
        <v>357</v>
      </c>
      <c r="AM73" s="12">
        <v>0</v>
      </c>
      <c r="AN73" s="12">
        <v>0</v>
      </c>
      <c r="AO73" s="12">
        <v>0</v>
      </c>
      <c r="AP73" s="12">
        <v>0</v>
      </c>
      <c r="AQ73" s="12">
        <v>0</v>
      </c>
      <c r="AR73" s="12">
        <v>0</v>
      </c>
      <c r="AS73" s="12">
        <v>0</v>
      </c>
      <c r="AT73" s="12">
        <v>0</v>
      </c>
      <c r="AU73" s="19" t="s">
        <v>357</v>
      </c>
      <c r="AV73" s="19" t="s">
        <v>357</v>
      </c>
      <c r="AW73" s="19" t="s">
        <v>45</v>
      </c>
      <c r="AX73" s="19" t="s">
        <v>357</v>
      </c>
      <c r="AY73" s="19" t="s">
        <v>357</v>
      </c>
      <c r="AZ73" s="19" t="s">
        <v>357</v>
      </c>
      <c r="BA73" s="12">
        <f>14*0.5</f>
        <v>7</v>
      </c>
      <c r="BB73" s="12"/>
      <c r="BC73" s="12"/>
      <c r="BD73" s="12"/>
      <c r="BE73" s="12"/>
      <c r="BF73" s="12" t="s">
        <v>1727</v>
      </c>
      <c r="BG73" s="12">
        <v>45</v>
      </c>
      <c r="BH73" s="12">
        <v>45</v>
      </c>
      <c r="BI73" s="12">
        <v>0</v>
      </c>
      <c r="BJ73" s="12">
        <v>0</v>
      </c>
      <c r="BK73" s="12">
        <f>BH73+BI73</f>
        <v>45</v>
      </c>
      <c r="BL73" s="12">
        <v>25</v>
      </c>
      <c r="BM73" s="12">
        <v>1.8</v>
      </c>
      <c r="BN73" s="12" t="s">
        <v>359</v>
      </c>
      <c r="BO73" s="12">
        <v>0</v>
      </c>
      <c r="BP73" s="12">
        <v>1</v>
      </c>
      <c r="BQ73" s="12">
        <v>1</v>
      </c>
      <c r="BR73" s="11">
        <v>38474</v>
      </c>
      <c r="BS73" s="12" t="s">
        <v>91</v>
      </c>
      <c r="BT73" s="12" t="s">
        <v>90</v>
      </c>
      <c r="BU73" s="12">
        <v>1</v>
      </c>
      <c r="BV73" s="12">
        <v>0</v>
      </c>
      <c r="BW73" s="12">
        <v>8</v>
      </c>
      <c r="BX73" s="12">
        <v>0.52900000000000003</v>
      </c>
      <c r="BY73" s="12">
        <v>0.29099999999999998</v>
      </c>
      <c r="BZ73" s="12">
        <v>13.3</v>
      </c>
      <c r="CA73" s="12">
        <v>389</v>
      </c>
      <c r="CB73" s="12">
        <v>1.65</v>
      </c>
      <c r="CC73" s="12"/>
      <c r="CD73" s="12"/>
      <c r="CE73" s="12">
        <v>1</v>
      </c>
      <c r="CF73" s="11">
        <v>38538</v>
      </c>
      <c r="CG73" s="7">
        <f>CF73-AJ73</f>
        <v>27</v>
      </c>
      <c r="CH73" s="17" t="s">
        <v>461</v>
      </c>
      <c r="CI73" s="17" t="s">
        <v>460</v>
      </c>
      <c r="CJ73" s="17" t="s">
        <v>1273</v>
      </c>
      <c r="CK73" s="12" t="s">
        <v>663</v>
      </c>
      <c r="CL73" s="12" t="s">
        <v>45</v>
      </c>
      <c r="CM73" s="12">
        <v>1</v>
      </c>
      <c r="CN73" s="12" t="str">
        <f>MID(CK73,4,1)</f>
        <v>0</v>
      </c>
      <c r="CO73" s="17" t="s">
        <v>1558</v>
      </c>
      <c r="CP73" s="17">
        <v>0</v>
      </c>
      <c r="CQ73" s="17" t="s">
        <v>357</v>
      </c>
      <c r="CR73" s="17">
        <v>0</v>
      </c>
      <c r="CS73" s="12" t="s">
        <v>357</v>
      </c>
      <c r="CT73" s="12" t="s">
        <v>357</v>
      </c>
      <c r="CU73" s="12" t="s">
        <v>357</v>
      </c>
      <c r="CV73" s="12">
        <v>0</v>
      </c>
      <c r="CW73" s="12" t="s">
        <v>357</v>
      </c>
      <c r="CX73" s="12" t="s">
        <v>357</v>
      </c>
      <c r="CY73" s="12" t="s">
        <v>357</v>
      </c>
      <c r="CZ73" s="12">
        <v>0</v>
      </c>
      <c r="DA73" s="12">
        <v>29</v>
      </c>
      <c r="DB73" s="13">
        <f>CZ73/DA73*100</f>
        <v>0</v>
      </c>
      <c r="DC73" s="12" t="s">
        <v>357</v>
      </c>
      <c r="DD73" s="12" t="s">
        <v>357</v>
      </c>
      <c r="DE73" s="12" t="s">
        <v>357</v>
      </c>
      <c r="DF73" s="12" t="s">
        <v>357</v>
      </c>
      <c r="DG73" s="12" t="s">
        <v>1726</v>
      </c>
      <c r="DH73" s="16">
        <v>0</v>
      </c>
      <c r="DI73" s="16">
        <v>0</v>
      </c>
      <c r="DJ73" s="11">
        <v>42782</v>
      </c>
      <c r="DK73" s="11" t="s">
        <v>1556</v>
      </c>
      <c r="DL73" s="12">
        <f>(DJ73-I73)/365.25*12</f>
        <v>141.5359342915811</v>
      </c>
      <c r="DM73" s="12">
        <v>0</v>
      </c>
      <c r="DN73" s="12" t="s">
        <v>357</v>
      </c>
      <c r="DO73" s="12" t="s">
        <v>357</v>
      </c>
      <c r="DP73" s="12" t="s">
        <v>357</v>
      </c>
      <c r="DQ73" s="16">
        <v>0</v>
      </c>
      <c r="DR73" s="11" t="s">
        <v>45</v>
      </c>
      <c r="DS73" s="10">
        <f>IF(DQ73=1, (DR73-$I73)/365.25*12, IF(DQ73=0, $DL73, "ERROR"))</f>
        <v>141.5359342915811</v>
      </c>
      <c r="DT73" s="16">
        <v>0</v>
      </c>
      <c r="DU73" s="16">
        <v>0</v>
      </c>
      <c r="DV73" s="16">
        <v>0</v>
      </c>
      <c r="DW73" s="16">
        <f>DU73*(1-DV73)</f>
        <v>0</v>
      </c>
      <c r="DX73" s="16">
        <f>(1-DU73)*DV73</f>
        <v>0</v>
      </c>
      <c r="DY73" s="16">
        <f>DU73*DV73</f>
        <v>0</v>
      </c>
      <c r="DZ73" s="11" t="s">
        <v>45</v>
      </c>
      <c r="EA73" s="10">
        <f>IF(DT73=1, (DZ73-$I73)/365.25*12, IF(DT73=0, $DL73, "ERROR"))</f>
        <v>141.5359342915811</v>
      </c>
      <c r="EB73" s="16">
        <v>0</v>
      </c>
      <c r="EC73" s="16">
        <v>0</v>
      </c>
      <c r="ED73" s="16">
        <f>1-((1-DQ73)*(1-DT73))</f>
        <v>0</v>
      </c>
      <c r="EE73" s="11" t="s">
        <v>45</v>
      </c>
      <c r="EF73" s="12" t="s">
        <v>357</v>
      </c>
      <c r="EG73" s="16" t="s">
        <v>45</v>
      </c>
      <c r="EH73" s="12" t="s">
        <v>45</v>
      </c>
      <c r="EI73" s="12">
        <v>0</v>
      </c>
      <c r="EJ73" s="16">
        <f>(1-DQ73)*DX73*(1-EI73)</f>
        <v>0</v>
      </c>
      <c r="EK73" s="12" t="s">
        <v>357</v>
      </c>
      <c r="EL73" s="10">
        <f>IF(EI73=1, (EK73-$I73)/365.25*12, IF(EI73=0, $DL73, "ERROR"))</f>
        <v>141.5359342915811</v>
      </c>
      <c r="EM73" s="12" t="s">
        <v>357</v>
      </c>
      <c r="EN73" s="1">
        <v>0</v>
      </c>
      <c r="EO73" s="1">
        <v>0</v>
      </c>
      <c r="EP73" s="1">
        <v>0</v>
      </c>
      <c r="EQ73" s="1">
        <v>0</v>
      </c>
      <c r="ER73" s="1">
        <v>0</v>
      </c>
      <c r="ES73" s="1">
        <v>0</v>
      </c>
      <c r="ET73" s="1">
        <v>0</v>
      </c>
      <c r="EU73" s="1">
        <v>0</v>
      </c>
      <c r="EV73" s="1">
        <v>0</v>
      </c>
      <c r="EW73" s="1">
        <f>1-((1-EP73)*(1-ET73)*(1-EU73)*(1-EV73))</f>
        <v>0</v>
      </c>
      <c r="EX73" s="16">
        <v>0</v>
      </c>
      <c r="EY73" s="7">
        <v>0</v>
      </c>
      <c r="EZ73" s="7">
        <v>0</v>
      </c>
      <c r="FA73" s="7">
        <v>0</v>
      </c>
      <c r="FB73" s="12" t="s">
        <v>357</v>
      </c>
      <c r="FC73" s="12">
        <v>1</v>
      </c>
      <c r="FD73" s="12">
        <v>1</v>
      </c>
      <c r="FE73" s="12"/>
      <c r="FF73" s="30">
        <v>43096</v>
      </c>
      <c r="FG73" s="3">
        <f>IF(FC73=1, FF73, IF(FD73=1, 44348, DJ73))</f>
        <v>43096</v>
      </c>
      <c r="FH73" s="13">
        <f>(FG73-I73)/365.25*12</f>
        <v>151.85215605749488</v>
      </c>
      <c r="FI73" s="20">
        <f>IF(DM73=1, (DO73-I73)/365.25*12, IF(DM73=0, DL73, "ERROR"))</f>
        <v>141.5359342915811</v>
      </c>
      <c r="FJ73" s="14">
        <f>IF(OR(DM73,FC73), 1, 0)</f>
        <v>1</v>
      </c>
      <c r="FK73" s="11">
        <f>IF(DM73=1,IF(FC73=1,MIN(DO73,FF73),DO73),IF(FC73=1,FF73,DJ73))</f>
        <v>43096</v>
      </c>
      <c r="FL73" s="13">
        <f>(FK73-$I73)/365.25*12</f>
        <v>151.85215605749488</v>
      </c>
      <c r="FM73" s="14">
        <f>IF(OR(ED73,FC73), 1, 0)</f>
        <v>1</v>
      </c>
      <c r="FN73" s="11">
        <f>IF(ED73=1,IF(FC73=1,MIN(EE73,FF73),EE73),IF(FC73=1,FF73,DJ73))</f>
        <v>43096</v>
      </c>
      <c r="FO73" s="13">
        <f>(FN73-$I73)/365.25*12</f>
        <v>151.85215605749488</v>
      </c>
      <c r="FP73" s="14">
        <f>IF(OR(EI73,FC73), 1, 0)</f>
        <v>1</v>
      </c>
      <c r="FQ73" s="11">
        <f>IF(EI73=1,IF(FC73=1,MIN(EK73,FF73),EK73),IF(FC73=1,FF73,DJ73))</f>
        <v>43096</v>
      </c>
      <c r="FR73" s="13">
        <f>(FQ73-$I73)/365.25*12</f>
        <v>151.85215605749488</v>
      </c>
      <c r="FS73" s="12"/>
      <c r="FT73" s="12"/>
      <c r="FU73" s="12">
        <v>1</v>
      </c>
      <c r="FV73" s="12">
        <v>1</v>
      </c>
      <c r="FW73" s="12">
        <v>0</v>
      </c>
      <c r="FX73" s="12">
        <v>0</v>
      </c>
      <c r="FY73" s="12"/>
      <c r="FZ73" s="12" t="s">
        <v>357</v>
      </c>
      <c r="GA73" s="1">
        <v>1</v>
      </c>
      <c r="GB73" s="1">
        <v>0</v>
      </c>
      <c r="GC73" s="1">
        <v>2564.0508</v>
      </c>
      <c r="GD73" s="1">
        <v>336.14260000000002</v>
      </c>
      <c r="GE73" s="25">
        <v>0</v>
      </c>
      <c r="GF73" s="25">
        <v>0</v>
      </c>
      <c r="GG73" s="1">
        <v>490.31849999999997</v>
      </c>
      <c r="GH73" s="24">
        <v>601.80909999999994</v>
      </c>
    </row>
    <row r="74" spans="1:190" ht="12.75" customHeight="1">
      <c r="A74" s="1" t="s">
        <v>917</v>
      </c>
      <c r="B74" s="1" t="s">
        <v>916</v>
      </c>
      <c r="C74" s="1">
        <v>33810757</v>
      </c>
      <c r="D74" s="1">
        <v>1</v>
      </c>
      <c r="E74" s="1">
        <v>0</v>
      </c>
      <c r="F74" s="1">
        <v>1</v>
      </c>
      <c r="G74" s="1">
        <v>1</v>
      </c>
      <c r="I74" s="3">
        <v>43914</v>
      </c>
      <c r="J74" s="3">
        <v>43895</v>
      </c>
      <c r="K74" s="3">
        <v>22847</v>
      </c>
      <c r="L74" s="5">
        <f>(DAYS360(K74,I74))/365</f>
        <v>56.887671232876713</v>
      </c>
      <c r="M74" s="1" t="s">
        <v>5</v>
      </c>
      <c r="N74" s="1">
        <v>1</v>
      </c>
      <c r="O74" s="1">
        <v>0</v>
      </c>
      <c r="P74" s="1" t="s">
        <v>69</v>
      </c>
      <c r="Q74" s="1">
        <v>1</v>
      </c>
      <c r="R74" s="1" t="s">
        <v>18</v>
      </c>
      <c r="S74" s="1" t="s">
        <v>915</v>
      </c>
      <c r="T74" s="1" t="s">
        <v>67</v>
      </c>
      <c r="U74" s="1">
        <v>0</v>
      </c>
      <c r="V74" s="1">
        <v>0</v>
      </c>
      <c r="W74" s="1">
        <v>1</v>
      </c>
      <c r="X74" s="1" t="s">
        <v>243</v>
      </c>
      <c r="Y74" s="1">
        <v>3</v>
      </c>
      <c r="Z74" s="1">
        <v>1</v>
      </c>
      <c r="AA74" s="1" t="s">
        <v>96</v>
      </c>
      <c r="AC74" s="1">
        <v>5</v>
      </c>
      <c r="AD74" s="1" t="s">
        <v>914</v>
      </c>
      <c r="AE74" s="1" t="s">
        <v>94</v>
      </c>
      <c r="AF74" s="1">
        <v>1</v>
      </c>
      <c r="AG74" s="1">
        <v>1</v>
      </c>
      <c r="AH74" s="1">
        <v>1</v>
      </c>
      <c r="AI74" s="3">
        <v>43914</v>
      </c>
      <c r="AJ74" s="3">
        <v>43949</v>
      </c>
      <c r="BA74" s="1">
        <v>10</v>
      </c>
      <c r="BG74" s="1">
        <v>44</v>
      </c>
      <c r="BH74" s="1">
        <v>22</v>
      </c>
      <c r="BI74" s="1">
        <v>0</v>
      </c>
      <c r="BJ74" s="1">
        <v>0</v>
      </c>
      <c r="BK74" s="1">
        <v>44</v>
      </c>
      <c r="BL74" s="1">
        <v>22</v>
      </c>
      <c r="BM74" s="1">
        <v>2</v>
      </c>
      <c r="BN74" s="1" t="s">
        <v>913</v>
      </c>
      <c r="BO74" s="1">
        <v>1</v>
      </c>
      <c r="BP74" s="1">
        <v>1</v>
      </c>
      <c r="BQ74" s="1">
        <v>1</v>
      </c>
      <c r="BR74" s="3">
        <v>43914</v>
      </c>
      <c r="BS74" s="1" t="s">
        <v>91</v>
      </c>
      <c r="BT74" s="12" t="s">
        <v>90</v>
      </c>
      <c r="BU74" s="1">
        <v>2</v>
      </c>
      <c r="BV74" s="1">
        <v>1</v>
      </c>
      <c r="CE74" s="1">
        <v>1</v>
      </c>
      <c r="CF74" s="3">
        <v>43986</v>
      </c>
      <c r="CG74" s="7">
        <f>CF74-AJ74</f>
        <v>37</v>
      </c>
      <c r="CH74" s="1" t="s">
        <v>912</v>
      </c>
      <c r="CI74" s="17" t="s">
        <v>460</v>
      </c>
      <c r="CJ74" s="1" t="s">
        <v>182</v>
      </c>
      <c r="CK74" s="1" t="s">
        <v>811</v>
      </c>
      <c r="CL74" s="1" t="s">
        <v>45</v>
      </c>
      <c r="CM74" s="1">
        <v>1</v>
      </c>
      <c r="CN74" s="12" t="str">
        <f>MID(CK74,4,1)</f>
        <v>0</v>
      </c>
      <c r="CO74" s="1" t="s">
        <v>911</v>
      </c>
      <c r="CP74" s="1">
        <v>0</v>
      </c>
      <c r="CQ74" s="1" t="s">
        <v>45</v>
      </c>
      <c r="CR74" s="1">
        <v>0</v>
      </c>
      <c r="CS74" s="1" t="s">
        <v>45</v>
      </c>
      <c r="CT74" s="1" t="s">
        <v>45</v>
      </c>
      <c r="CU74" s="1" t="s">
        <v>45</v>
      </c>
      <c r="CV74" s="1">
        <v>0</v>
      </c>
      <c r="CW74" s="1" t="s">
        <v>45</v>
      </c>
      <c r="CX74" s="1" t="s">
        <v>45</v>
      </c>
      <c r="CY74" s="1" t="s">
        <v>45</v>
      </c>
      <c r="CZ74" s="1">
        <v>0</v>
      </c>
      <c r="DA74" s="1">
        <v>58</v>
      </c>
      <c r="DB74" s="2">
        <f>CZ74/DA74*100</f>
        <v>0</v>
      </c>
      <c r="DC74" s="1">
        <v>0</v>
      </c>
      <c r="DD74" s="1">
        <v>0</v>
      </c>
      <c r="DE74" s="1">
        <v>0</v>
      </c>
      <c r="DF74" s="1">
        <v>0</v>
      </c>
      <c r="DG74" s="26" t="s">
        <v>910</v>
      </c>
      <c r="DH74" s="7">
        <v>0</v>
      </c>
      <c r="DI74" s="7">
        <v>0</v>
      </c>
      <c r="DJ74" s="3">
        <v>44825</v>
      </c>
      <c r="DK74" s="1" t="s">
        <v>75</v>
      </c>
      <c r="DL74" s="1">
        <f>(DJ74-I74)/365.25*12</f>
        <v>29.930184804928132</v>
      </c>
      <c r="DM74" s="1">
        <v>0</v>
      </c>
      <c r="DQ74" s="7">
        <v>0</v>
      </c>
      <c r="DT74" s="7">
        <v>0</v>
      </c>
      <c r="DU74" s="7">
        <v>0</v>
      </c>
      <c r="DV74" s="7">
        <v>0</v>
      </c>
      <c r="DW74" s="7">
        <f>DU74*(1-DV74)</f>
        <v>0</v>
      </c>
      <c r="DX74" s="7">
        <f>(1-DU74)*DV74</f>
        <v>0</v>
      </c>
      <c r="DY74" s="7">
        <f>DU74*DV74</f>
        <v>0</v>
      </c>
      <c r="EB74" s="7">
        <v>0</v>
      </c>
      <c r="EC74" s="7">
        <v>0</v>
      </c>
      <c r="ED74" s="7">
        <f>1-((1-DQ74)*(1-DT74))</f>
        <v>0</v>
      </c>
      <c r="EI74" s="1">
        <v>0</v>
      </c>
      <c r="EJ74" s="7">
        <f>(1-DQ74)*DX74*(1-EI74)</f>
        <v>0</v>
      </c>
      <c r="FC74" s="1">
        <v>0</v>
      </c>
      <c r="FD74" s="1">
        <v>0</v>
      </c>
      <c r="FF74" s="1" t="s">
        <v>45</v>
      </c>
      <c r="FI74" s="20">
        <f>IF(DM74=1, (DO74-I74)/365.25*12, IF(DM74=0, DL74, "ERROR"))</f>
        <v>29.930184804928132</v>
      </c>
      <c r="GA74" s="1">
        <v>0</v>
      </c>
      <c r="GB74" s="1">
        <v>0</v>
      </c>
      <c r="GC74" s="1">
        <v>79.735500000000002</v>
      </c>
      <c r="GD74" s="1">
        <v>58.025799999999997</v>
      </c>
      <c r="GE74" s="25">
        <v>30</v>
      </c>
      <c r="GF74" s="25">
        <v>30</v>
      </c>
      <c r="GG74" s="1">
        <v>1183.8867</v>
      </c>
      <c r="GH74" s="24">
        <v>1138.0224000000001</v>
      </c>
    </row>
    <row r="75" spans="1:190" ht="12.75" customHeight="1">
      <c r="A75" s="1" t="s">
        <v>1536</v>
      </c>
      <c r="B75" s="15" t="s">
        <v>1535</v>
      </c>
      <c r="C75" s="1">
        <v>33908849</v>
      </c>
      <c r="D75" s="1">
        <v>0</v>
      </c>
      <c r="E75" s="1">
        <v>0</v>
      </c>
      <c r="F75" s="1">
        <v>1</v>
      </c>
      <c r="G75" s="12">
        <v>1</v>
      </c>
      <c r="I75" s="3">
        <v>43143</v>
      </c>
      <c r="J75" s="3">
        <v>43125</v>
      </c>
      <c r="K75" s="3">
        <v>17678</v>
      </c>
      <c r="L75" s="5">
        <f>(DAYS360(K75,I75))/365</f>
        <v>68.758904109589039</v>
      </c>
      <c r="M75" s="1" t="s">
        <v>5</v>
      </c>
      <c r="N75" s="1">
        <v>1</v>
      </c>
      <c r="O75" s="1">
        <v>0</v>
      </c>
      <c r="P75" s="1" t="s">
        <v>69</v>
      </c>
      <c r="Q75" s="1">
        <v>1</v>
      </c>
      <c r="R75" s="1" t="s">
        <v>209</v>
      </c>
      <c r="S75" s="1" t="s">
        <v>1534</v>
      </c>
      <c r="T75" s="1" t="s">
        <v>98</v>
      </c>
      <c r="U75" s="1">
        <v>1</v>
      </c>
      <c r="V75" s="1">
        <v>1</v>
      </c>
      <c r="W75" s="1">
        <v>0</v>
      </c>
      <c r="X75" s="1" t="s">
        <v>1533</v>
      </c>
      <c r="Y75" s="1">
        <v>3</v>
      </c>
      <c r="Z75" s="1">
        <v>0</v>
      </c>
      <c r="AA75" s="1" t="s">
        <v>65</v>
      </c>
      <c r="AC75" s="1">
        <v>2</v>
      </c>
      <c r="AD75" s="1" t="s">
        <v>64</v>
      </c>
      <c r="AE75" s="1" t="s">
        <v>64</v>
      </c>
      <c r="AF75" s="1">
        <v>0</v>
      </c>
      <c r="AG75" s="1">
        <v>0</v>
      </c>
      <c r="AH75" s="1">
        <v>0</v>
      </c>
      <c r="AI75" s="3">
        <v>43143</v>
      </c>
      <c r="AJ75" s="3">
        <v>43180</v>
      </c>
      <c r="AK75" s="6" t="s">
        <v>554</v>
      </c>
      <c r="AL75" s="6" t="s">
        <v>1485</v>
      </c>
      <c r="AM75" s="1">
        <v>0</v>
      </c>
      <c r="AN75" s="1">
        <v>0</v>
      </c>
      <c r="AO75" s="1">
        <v>0</v>
      </c>
      <c r="AP75" s="1">
        <v>0</v>
      </c>
      <c r="AQ75" s="1">
        <v>0</v>
      </c>
      <c r="AR75" s="1">
        <v>0</v>
      </c>
      <c r="AS75" s="12">
        <f>IF(AND(AM75=0,AU75&lt;=2), 1, 0)</f>
        <v>1</v>
      </c>
      <c r="AT75" s="12">
        <v>1</v>
      </c>
      <c r="AU75" s="1">
        <v>2</v>
      </c>
      <c r="AV75" s="1">
        <v>0.5</v>
      </c>
      <c r="AW75" s="1" t="s">
        <v>45</v>
      </c>
      <c r="AX75" s="6" t="s">
        <v>45</v>
      </c>
      <c r="AY75" s="6" t="s">
        <v>45</v>
      </c>
      <c r="AZ75" s="1">
        <v>1</v>
      </c>
      <c r="BA75" s="1">
        <f>1.8+3.9+0.3</f>
        <v>6</v>
      </c>
      <c r="BB75" s="1">
        <v>218.2</v>
      </c>
      <c r="BC75" s="1">
        <v>2</v>
      </c>
      <c r="BD75" s="1">
        <v>2</v>
      </c>
      <c r="BE75" s="1">
        <v>545.70000000000005</v>
      </c>
      <c r="BF75" s="1" t="s">
        <v>883</v>
      </c>
      <c r="BG75" s="1">
        <v>45</v>
      </c>
      <c r="BH75" s="1">
        <v>45</v>
      </c>
      <c r="BI75" s="1">
        <v>0</v>
      </c>
      <c r="BJ75" s="1">
        <v>0</v>
      </c>
      <c r="BK75" s="1">
        <f>BH75+BI75</f>
        <v>45</v>
      </c>
      <c r="BL75" s="1">
        <v>25</v>
      </c>
      <c r="BM75" s="1">
        <v>1.8</v>
      </c>
      <c r="BN75" s="1" t="s">
        <v>110</v>
      </c>
      <c r="BO75" s="1">
        <v>0</v>
      </c>
      <c r="BP75" s="1">
        <v>1</v>
      </c>
      <c r="BQ75" s="1">
        <v>1</v>
      </c>
      <c r="BR75" s="3">
        <v>43143</v>
      </c>
      <c r="BS75" s="1" t="s">
        <v>61</v>
      </c>
      <c r="BT75" s="12" t="s">
        <v>60</v>
      </c>
      <c r="BU75" s="1">
        <v>5</v>
      </c>
      <c r="BV75" s="1">
        <v>1</v>
      </c>
      <c r="BW75" s="1">
        <v>7.42</v>
      </c>
      <c r="BX75" s="1">
        <v>0.72399999999999998</v>
      </c>
      <c r="BY75" s="1">
        <v>0.20200000000000001</v>
      </c>
      <c r="BZ75" s="1">
        <v>10.9</v>
      </c>
      <c r="CA75" s="1">
        <v>367</v>
      </c>
      <c r="CB75" s="1">
        <v>1.5</v>
      </c>
      <c r="CC75" s="1">
        <v>12.3</v>
      </c>
      <c r="CD75" s="1">
        <v>5.7</v>
      </c>
      <c r="CE75" s="1">
        <v>1</v>
      </c>
      <c r="CF75" s="3">
        <v>43223</v>
      </c>
      <c r="CG75" s="7">
        <f>CF75-AJ75</f>
        <v>43</v>
      </c>
      <c r="CH75" s="1" t="s">
        <v>1532</v>
      </c>
      <c r="CI75" s="12" t="s">
        <v>183</v>
      </c>
      <c r="CJ75" s="17" t="s">
        <v>182</v>
      </c>
      <c r="CK75" s="1" t="s">
        <v>1056</v>
      </c>
      <c r="CL75" s="1" t="s">
        <v>1055</v>
      </c>
      <c r="CM75" s="1">
        <v>0</v>
      </c>
      <c r="CN75" s="12" t="str">
        <f>MID(CK75,4,1)</f>
        <v>2</v>
      </c>
      <c r="CO75" s="1" t="s">
        <v>1004</v>
      </c>
      <c r="CP75" s="1">
        <v>1</v>
      </c>
      <c r="CQ75" s="1" t="s">
        <v>1531</v>
      </c>
      <c r="CR75" s="1">
        <v>0.5</v>
      </c>
      <c r="CS75" s="1" t="s">
        <v>1014</v>
      </c>
      <c r="CT75" s="1" t="s">
        <v>901</v>
      </c>
      <c r="CU75" s="1" t="s">
        <v>454</v>
      </c>
      <c r="CV75" s="1">
        <v>0</v>
      </c>
      <c r="CW75" s="1">
        <v>7.7</v>
      </c>
      <c r="CX75" s="1">
        <v>12.3</v>
      </c>
      <c r="CY75" s="1">
        <v>0.4</v>
      </c>
      <c r="CZ75" s="1">
        <v>0</v>
      </c>
      <c r="DA75" s="1">
        <v>58</v>
      </c>
      <c r="DB75" s="2">
        <f>CZ75/DA75*100</f>
        <v>0</v>
      </c>
      <c r="DC75" s="1">
        <v>0</v>
      </c>
      <c r="DD75" s="1">
        <v>0</v>
      </c>
      <c r="DE75" s="1">
        <v>0</v>
      </c>
      <c r="DF75" s="1">
        <v>0</v>
      </c>
      <c r="DG75" s="26" t="s">
        <v>1530</v>
      </c>
      <c r="DH75" s="7">
        <v>0</v>
      </c>
      <c r="DI75" s="7">
        <v>0</v>
      </c>
      <c r="DJ75" s="3">
        <v>43362</v>
      </c>
      <c r="DK75" s="1" t="s">
        <v>1529</v>
      </c>
      <c r="DL75" s="12">
        <f>(DJ75-I75)/365.25*12</f>
        <v>7.1950718685831623</v>
      </c>
      <c r="DM75" s="1">
        <v>0</v>
      </c>
      <c r="DN75" s="1" t="s">
        <v>45</v>
      </c>
      <c r="DO75" s="1" t="s">
        <v>45</v>
      </c>
      <c r="DP75" s="6" t="s">
        <v>45</v>
      </c>
      <c r="DQ75" s="7">
        <v>0</v>
      </c>
      <c r="DR75" s="3" t="s">
        <v>45</v>
      </c>
      <c r="DS75" s="10">
        <f>IF(DQ75=1, (DR75-$I75)/365.25*12, IF(DQ75=0, $DL75, "ERROR"))</f>
        <v>7.1950718685831623</v>
      </c>
      <c r="DT75" s="7">
        <v>0</v>
      </c>
      <c r="DU75" s="7">
        <v>0</v>
      </c>
      <c r="DV75" s="7">
        <v>0</v>
      </c>
      <c r="DW75" s="16">
        <f>DU75*(1-DV75)</f>
        <v>0</v>
      </c>
      <c r="DX75" s="16">
        <f>(1-DU75)*DV75</f>
        <v>0</v>
      </c>
      <c r="DY75" s="16">
        <f>DU75*DV75</f>
        <v>0</v>
      </c>
      <c r="DZ75" s="3" t="s">
        <v>45</v>
      </c>
      <c r="EA75" s="10">
        <f>IF(DT75=1, (DZ75-$I75)/365.25*12, IF(DT75=0, $DL75, "ERROR"))</f>
        <v>7.1950718685831623</v>
      </c>
      <c r="EB75" s="7">
        <v>0</v>
      </c>
      <c r="EC75" s="7">
        <v>0</v>
      </c>
      <c r="ED75" s="16">
        <f>1-((1-DQ75)*(1-DT75))</f>
        <v>0</v>
      </c>
      <c r="EE75" s="11" t="s">
        <v>45</v>
      </c>
      <c r="EF75" s="1" t="s">
        <v>45</v>
      </c>
      <c r="EG75" s="7" t="s">
        <v>45</v>
      </c>
      <c r="EH75" s="1" t="s">
        <v>45</v>
      </c>
      <c r="EI75" s="1">
        <v>0</v>
      </c>
      <c r="EJ75" s="16">
        <f>(1-DQ75)*DX75*(1-EI75)</f>
        <v>0</v>
      </c>
      <c r="EK75" s="1" t="s">
        <v>45</v>
      </c>
      <c r="EL75" s="10">
        <f>IF(EI75=1, (EK75-$I75)/365.25*12, IF(EI75=0, $DL75, "ERROR"))</f>
        <v>7.1950718685831623</v>
      </c>
      <c r="EM75" s="1" t="s">
        <v>45</v>
      </c>
      <c r="EN75" s="1">
        <v>0</v>
      </c>
      <c r="EO75" s="1">
        <v>0</v>
      </c>
      <c r="EP75" s="1">
        <v>0</v>
      </c>
      <c r="EQ75" s="1">
        <v>0</v>
      </c>
      <c r="ER75" s="1">
        <v>0</v>
      </c>
      <c r="ES75" s="1">
        <v>0</v>
      </c>
      <c r="ET75" s="1">
        <v>0</v>
      </c>
      <c r="EU75" s="1">
        <v>0</v>
      </c>
      <c r="EV75" s="1">
        <v>0</v>
      </c>
      <c r="EW75" s="1">
        <f>1-((1-EP75)*(1-ET75)*(1-EU75)*(1-EV75))</f>
        <v>0</v>
      </c>
      <c r="EX75" s="7">
        <v>0</v>
      </c>
      <c r="EY75" s="7">
        <v>0</v>
      </c>
      <c r="EZ75" s="7">
        <v>0</v>
      </c>
      <c r="FA75" s="7">
        <v>0</v>
      </c>
      <c r="FB75" s="1" t="s">
        <v>45</v>
      </c>
      <c r="FC75" s="1">
        <v>1</v>
      </c>
      <c r="FD75" s="1">
        <v>1</v>
      </c>
      <c r="FE75" s="1" t="s">
        <v>1528</v>
      </c>
      <c r="FF75" s="3">
        <v>43447</v>
      </c>
      <c r="FG75" s="3">
        <f>IF(FC75=1, FF75, IF(FD75=1, 44348, DJ75))</f>
        <v>43447</v>
      </c>
      <c r="FH75" s="13">
        <f>(FG75-I75)/365.25*12</f>
        <v>9.9876796714579061</v>
      </c>
      <c r="FI75" s="20">
        <f>IF(DM75=1, (DO75-I75)/365.25*12, IF(DM75=0, DL75, "ERROR"))</f>
        <v>7.1950718685831623</v>
      </c>
      <c r="FJ75" s="14">
        <f>IF(OR(DM75,FC75), 1, 0)</f>
        <v>1</v>
      </c>
      <c r="FK75" s="11">
        <f>IF(DM75=1,IF(FC75=1,MIN(DO75,FF75),DO75),IF(FC75=1,FF75,DJ75))</f>
        <v>43447</v>
      </c>
      <c r="FL75" s="13">
        <f>(FK75-$I75)/365.25*12</f>
        <v>9.9876796714579061</v>
      </c>
      <c r="FM75" s="14">
        <f>IF(OR(ED75,FC75), 1, 0)</f>
        <v>1</v>
      </c>
      <c r="FN75" s="11">
        <f>IF(ED75=1,IF(FC75=1,MIN(EE75,FF75),EE75),IF(FC75=1,FF75,DJ75))</f>
        <v>43447</v>
      </c>
      <c r="FO75" s="13">
        <f>(FN75-$I75)/365.25*12</f>
        <v>9.9876796714579061</v>
      </c>
      <c r="FP75" s="14">
        <f>IF(OR(EI75,FC75), 1, 0)</f>
        <v>1</v>
      </c>
      <c r="FQ75" s="11">
        <f>IF(EI75=1,IF(FC75=1,MIN(EK75,FF75),EK75),IF(FC75=1,FF75,DJ75))</f>
        <v>43447</v>
      </c>
      <c r="FR75" s="13">
        <f>(FQ75-$I75)/365.25*12</f>
        <v>9.9876796714579061</v>
      </c>
      <c r="FS75" s="1" t="s">
        <v>45</v>
      </c>
      <c r="FT75" s="1" t="s">
        <v>45</v>
      </c>
      <c r="FU75" s="1">
        <v>0</v>
      </c>
      <c r="FV75" s="1">
        <v>0</v>
      </c>
      <c r="FW75" s="1">
        <v>0</v>
      </c>
      <c r="FX75" s="1">
        <v>0</v>
      </c>
      <c r="FY75" s="1" t="s">
        <v>1527</v>
      </c>
      <c r="GA75" s="1">
        <v>3</v>
      </c>
      <c r="GB75" s="1">
        <v>3</v>
      </c>
      <c r="GC75" s="1">
        <v>681.22050000000002</v>
      </c>
      <c r="GD75" s="1">
        <v>95.586699999999993</v>
      </c>
      <c r="GE75" s="25">
        <v>0</v>
      </c>
      <c r="GF75" s="25">
        <v>0</v>
      </c>
      <c r="GG75" s="1">
        <v>146.1902</v>
      </c>
      <c r="GH75" s="24">
        <v>61.300600000000003</v>
      </c>
    </row>
    <row r="76" spans="1:190" ht="12.75" customHeight="1">
      <c r="A76" s="1" t="s">
        <v>882</v>
      </c>
      <c r="B76" s="1" t="s">
        <v>881</v>
      </c>
      <c r="C76" s="1">
        <v>36084007</v>
      </c>
      <c r="D76" s="1">
        <v>1</v>
      </c>
      <c r="E76" s="1">
        <v>0</v>
      </c>
      <c r="F76" s="1">
        <v>1</v>
      </c>
      <c r="G76" s="1">
        <v>1</v>
      </c>
      <c r="I76" s="3">
        <v>44176</v>
      </c>
      <c r="J76" s="3">
        <v>44148</v>
      </c>
      <c r="K76" s="3">
        <v>20624</v>
      </c>
      <c r="L76" s="5">
        <f>(DAYS360(K76,I76))/365</f>
        <v>63.597260273972601</v>
      </c>
      <c r="M76" s="1" t="s">
        <v>5</v>
      </c>
      <c r="N76" s="1">
        <v>1</v>
      </c>
      <c r="O76" s="1">
        <v>0</v>
      </c>
      <c r="P76" s="1" t="s">
        <v>81</v>
      </c>
      <c r="Q76" s="1">
        <v>3</v>
      </c>
      <c r="R76" s="1" t="s">
        <v>18</v>
      </c>
      <c r="S76" s="1" t="s">
        <v>880</v>
      </c>
      <c r="T76" s="1" t="s">
        <v>67</v>
      </c>
      <c r="U76" s="1">
        <v>0</v>
      </c>
      <c r="V76" s="1">
        <v>0</v>
      </c>
      <c r="W76" s="1">
        <v>1</v>
      </c>
      <c r="X76" s="1" t="s">
        <v>296</v>
      </c>
      <c r="Y76" s="1">
        <v>2</v>
      </c>
      <c r="Z76" s="1">
        <v>1</v>
      </c>
      <c r="AA76" s="1" t="s">
        <v>65</v>
      </c>
      <c r="AC76" s="1">
        <v>2</v>
      </c>
      <c r="AD76" s="1" t="s">
        <v>879</v>
      </c>
      <c r="AE76" s="1" t="s">
        <v>114</v>
      </c>
      <c r="AF76" s="1">
        <v>0</v>
      </c>
      <c r="AG76" s="1">
        <v>0</v>
      </c>
      <c r="AH76" s="1">
        <v>0</v>
      </c>
      <c r="AI76" s="3">
        <v>44176</v>
      </c>
      <c r="AJ76" s="3">
        <v>44209</v>
      </c>
      <c r="BA76" s="1">
        <v>5</v>
      </c>
      <c r="BG76" s="1">
        <v>44</v>
      </c>
      <c r="BH76" s="1">
        <v>22</v>
      </c>
      <c r="BI76" s="1">
        <v>0</v>
      </c>
      <c r="BJ76" s="1">
        <v>0</v>
      </c>
      <c r="BK76" s="1">
        <v>44</v>
      </c>
      <c r="BL76" s="1">
        <v>22</v>
      </c>
      <c r="BM76" s="1">
        <v>2</v>
      </c>
      <c r="BN76" s="1" t="s">
        <v>62</v>
      </c>
      <c r="BO76" s="1">
        <v>1</v>
      </c>
      <c r="BP76" s="1">
        <v>1</v>
      </c>
      <c r="BQ76" s="1">
        <v>1</v>
      </c>
      <c r="BR76" s="3">
        <v>44176</v>
      </c>
      <c r="BS76" s="1" t="s">
        <v>61</v>
      </c>
      <c r="BT76" s="12" t="s">
        <v>60</v>
      </c>
      <c r="BU76" s="1">
        <v>5</v>
      </c>
      <c r="BV76" s="1">
        <v>1</v>
      </c>
      <c r="CE76" s="1">
        <v>1</v>
      </c>
      <c r="CF76" s="3">
        <v>44245</v>
      </c>
      <c r="CG76" s="7">
        <f>CF76-AJ76</f>
        <v>36</v>
      </c>
      <c r="CH76" s="1" t="s">
        <v>878</v>
      </c>
      <c r="CI76" s="17" t="s">
        <v>460</v>
      </c>
      <c r="CJ76" s="1" t="s">
        <v>182</v>
      </c>
      <c r="CK76" s="1" t="s">
        <v>877</v>
      </c>
      <c r="CL76" s="1" t="s">
        <v>45</v>
      </c>
      <c r="CM76" s="1">
        <v>0</v>
      </c>
      <c r="CN76" s="12" t="str">
        <f>MID(CK76,4,1)</f>
        <v>0</v>
      </c>
      <c r="CO76" s="1" t="s">
        <v>765</v>
      </c>
      <c r="CP76" s="1">
        <v>0</v>
      </c>
      <c r="CQ76" s="1" t="s">
        <v>45</v>
      </c>
      <c r="CR76" s="1">
        <v>0</v>
      </c>
      <c r="CS76" s="1" t="s">
        <v>45</v>
      </c>
      <c r="CT76" s="1" t="s">
        <v>45</v>
      </c>
      <c r="CU76" s="1" t="s">
        <v>45</v>
      </c>
      <c r="CV76" s="1">
        <v>0</v>
      </c>
      <c r="CW76" s="1" t="s">
        <v>45</v>
      </c>
      <c r="CX76" s="1" t="s">
        <v>45</v>
      </c>
      <c r="CY76" s="1" t="s">
        <v>45</v>
      </c>
      <c r="CZ76" s="1">
        <v>2</v>
      </c>
      <c r="DA76" s="1">
        <v>56</v>
      </c>
      <c r="DB76" s="2">
        <f>CZ76/DA76*100</f>
        <v>3.5714285714285712</v>
      </c>
      <c r="DC76" s="1">
        <v>0</v>
      </c>
      <c r="DD76" s="1">
        <v>0</v>
      </c>
      <c r="DE76" s="1">
        <v>0</v>
      </c>
      <c r="DF76" s="1">
        <v>0</v>
      </c>
      <c r="DG76" s="26" t="s">
        <v>876</v>
      </c>
      <c r="DH76" s="7">
        <v>0</v>
      </c>
      <c r="DI76" s="7">
        <v>0</v>
      </c>
      <c r="DJ76" s="3">
        <v>44277</v>
      </c>
      <c r="DK76" s="1" t="s">
        <v>875</v>
      </c>
      <c r="DL76" s="1">
        <f>(DJ76-I76)/365.25*12</f>
        <v>3.3182751540041071</v>
      </c>
      <c r="DM76" s="1">
        <v>0</v>
      </c>
      <c r="DQ76" s="7">
        <v>0</v>
      </c>
      <c r="DT76" s="7">
        <v>0</v>
      </c>
      <c r="DU76" s="7">
        <v>0</v>
      </c>
      <c r="DV76" s="7">
        <v>0</v>
      </c>
      <c r="DW76" s="7">
        <f>DU76*(1-DV76)</f>
        <v>0</v>
      </c>
      <c r="DX76" s="7">
        <f>(1-DU76)*DV76</f>
        <v>0</v>
      </c>
      <c r="DY76" s="7">
        <f>DU76*DV76</f>
        <v>0</v>
      </c>
      <c r="EB76" s="7">
        <v>0</v>
      </c>
      <c r="EC76" s="7">
        <v>0</v>
      </c>
      <c r="ED76" s="7">
        <f>1-((1-DQ76)*(1-DT76))</f>
        <v>0</v>
      </c>
      <c r="EI76" s="1">
        <v>0</v>
      </c>
      <c r="EJ76" s="7">
        <f>(1-DQ76)*DX76*(1-EI76)</f>
        <v>0</v>
      </c>
      <c r="FC76" s="6" t="s">
        <v>50</v>
      </c>
      <c r="FD76" s="1">
        <v>0</v>
      </c>
      <c r="FF76" s="1" t="s">
        <v>45</v>
      </c>
      <c r="FI76" s="20">
        <f>IF(DM76=1, (DO76-I76)/365.25*12, IF(DM76=0, DL76, "ERROR"))</f>
        <v>3.3182751540041071</v>
      </c>
      <c r="GA76" s="1">
        <v>15</v>
      </c>
      <c r="GB76" s="1">
        <v>0</v>
      </c>
      <c r="GC76" s="1">
        <v>2031.8159000000001</v>
      </c>
      <c r="GD76" s="1">
        <v>87.330399999999997</v>
      </c>
      <c r="GE76" s="25">
        <v>7</v>
      </c>
      <c r="GF76" s="25">
        <v>7</v>
      </c>
      <c r="GG76" s="1">
        <v>303.24459999999999</v>
      </c>
      <c r="GH76" s="24">
        <v>69.806799999999996</v>
      </c>
    </row>
    <row r="77" spans="1:190" ht="12.75" customHeight="1">
      <c r="A77" s="1" t="s">
        <v>1725</v>
      </c>
      <c r="B77" s="12" t="s">
        <v>1724</v>
      </c>
      <c r="C77" s="12">
        <v>37244770</v>
      </c>
      <c r="D77" s="12">
        <v>0</v>
      </c>
      <c r="E77" s="12">
        <v>0</v>
      </c>
      <c r="F77" s="12">
        <v>1</v>
      </c>
      <c r="G77" s="12">
        <v>1</v>
      </c>
      <c r="H77" s="21"/>
      <c r="I77" s="11">
        <v>39517</v>
      </c>
      <c r="J77" s="11">
        <v>39477</v>
      </c>
      <c r="K77" s="11">
        <v>13353</v>
      </c>
      <c r="L77" s="20">
        <f>(DAYS360(K77,I77))/365</f>
        <v>70.652054794520552</v>
      </c>
      <c r="M77" s="12" t="s">
        <v>370</v>
      </c>
      <c r="N77" s="12">
        <v>1</v>
      </c>
      <c r="O77" s="12">
        <v>0</v>
      </c>
      <c r="P77" s="12" t="s">
        <v>423</v>
      </c>
      <c r="Q77" s="12">
        <v>1</v>
      </c>
      <c r="R77" s="12" t="s">
        <v>466</v>
      </c>
      <c r="S77" s="12">
        <v>26</v>
      </c>
      <c r="T77" s="12" t="s">
        <v>384</v>
      </c>
      <c r="U77" s="12">
        <v>0</v>
      </c>
      <c r="V77" s="12">
        <v>1</v>
      </c>
      <c r="W77" s="12">
        <v>0</v>
      </c>
      <c r="X77" s="12" t="s">
        <v>1723</v>
      </c>
      <c r="Y77" s="12">
        <v>3</v>
      </c>
      <c r="Z77" s="12">
        <v>1</v>
      </c>
      <c r="AA77" s="12" t="s">
        <v>366</v>
      </c>
      <c r="AB77" s="12" t="s">
        <v>365</v>
      </c>
      <c r="AC77" s="12">
        <v>3</v>
      </c>
      <c r="AD77" s="12">
        <v>8</v>
      </c>
      <c r="AE77" s="12"/>
      <c r="AF77" s="12">
        <v>0</v>
      </c>
      <c r="AG77" s="12">
        <v>0</v>
      </c>
      <c r="AH77" s="12">
        <v>0</v>
      </c>
      <c r="AI77" s="11">
        <v>39517</v>
      </c>
      <c r="AJ77" s="11">
        <v>39555</v>
      </c>
      <c r="AK77" s="19" t="s">
        <v>357</v>
      </c>
      <c r="AL77" s="19" t="s">
        <v>357</v>
      </c>
      <c r="AM77" s="12">
        <v>0</v>
      </c>
      <c r="AN77" s="12">
        <v>0</v>
      </c>
      <c r="AO77" s="12">
        <v>0</v>
      </c>
      <c r="AP77" s="12">
        <v>0</v>
      </c>
      <c r="AQ77" s="12">
        <v>0</v>
      </c>
      <c r="AR77" s="12">
        <v>0</v>
      </c>
      <c r="AS77" s="12">
        <v>0</v>
      </c>
      <c r="AT77" s="12">
        <v>0</v>
      </c>
      <c r="AU77" s="19" t="s">
        <v>357</v>
      </c>
      <c r="AV77" s="19" t="s">
        <v>357</v>
      </c>
      <c r="AW77" s="19" t="s">
        <v>45</v>
      </c>
      <c r="AX77" s="19" t="s">
        <v>357</v>
      </c>
      <c r="AY77" s="19" t="s">
        <v>357</v>
      </c>
      <c r="AZ77" s="19" t="s">
        <v>357</v>
      </c>
      <c r="BA77" s="12">
        <v>9</v>
      </c>
      <c r="BB77" s="12"/>
      <c r="BC77" s="12"/>
      <c r="BD77" s="12"/>
      <c r="BE77" s="12"/>
      <c r="BF77" s="12" t="s">
        <v>498</v>
      </c>
      <c r="BG77" s="12" t="s">
        <v>360</v>
      </c>
      <c r="BH77" s="12">
        <v>45</v>
      </c>
      <c r="BI77" s="12">
        <v>5.4</v>
      </c>
      <c r="BJ77" s="12">
        <v>1</v>
      </c>
      <c r="BK77" s="12">
        <f>BH77+BI77</f>
        <v>50.4</v>
      </c>
      <c r="BL77" s="12">
        <v>28</v>
      </c>
      <c r="BM77" s="12">
        <v>1.8</v>
      </c>
      <c r="BN77" s="12" t="s">
        <v>359</v>
      </c>
      <c r="BO77" s="12">
        <v>0</v>
      </c>
      <c r="BP77" s="12">
        <v>1</v>
      </c>
      <c r="BQ77" s="12">
        <v>1</v>
      </c>
      <c r="BR77" s="11">
        <v>39517</v>
      </c>
      <c r="BS77" s="12" t="s">
        <v>1722</v>
      </c>
      <c r="BT77" s="12" t="s">
        <v>1721</v>
      </c>
      <c r="BU77" s="12">
        <v>6</v>
      </c>
      <c r="BV77" s="12">
        <v>1</v>
      </c>
      <c r="BW77" s="12">
        <v>7.62</v>
      </c>
      <c r="BX77" s="12">
        <v>0.63700000000000001</v>
      </c>
      <c r="BY77" s="12">
        <v>0.20499999999999999</v>
      </c>
      <c r="BZ77" s="12">
        <v>11.3</v>
      </c>
      <c r="CA77" s="12">
        <v>480</v>
      </c>
      <c r="CB77" s="12">
        <v>1.47</v>
      </c>
      <c r="CC77" s="12">
        <v>17.899999999999999</v>
      </c>
      <c r="CD77" s="12">
        <v>6.1</v>
      </c>
      <c r="CE77" s="12">
        <v>1</v>
      </c>
      <c r="CF77" s="11">
        <v>39584</v>
      </c>
      <c r="CG77" s="7">
        <f>CF77-AJ77</f>
        <v>29</v>
      </c>
      <c r="CH77" s="17" t="s">
        <v>461</v>
      </c>
      <c r="CI77" s="17" t="s">
        <v>460</v>
      </c>
      <c r="CJ77" s="17" t="s">
        <v>515</v>
      </c>
      <c r="CK77" s="12" t="s">
        <v>1720</v>
      </c>
      <c r="CL77" s="12" t="s">
        <v>1584</v>
      </c>
      <c r="CM77" s="12">
        <v>0</v>
      </c>
      <c r="CN77" s="12" t="str">
        <f>MID(CK77,4,1)</f>
        <v>2</v>
      </c>
      <c r="CO77" s="17" t="s">
        <v>1600</v>
      </c>
      <c r="CP77" s="17">
        <v>1</v>
      </c>
      <c r="CQ77" s="17" t="s">
        <v>1719</v>
      </c>
      <c r="CR77" s="17">
        <v>1.5</v>
      </c>
      <c r="CS77" s="12" t="s">
        <v>1581</v>
      </c>
      <c r="CT77" s="12" t="s">
        <v>455</v>
      </c>
      <c r="CU77" s="12" t="s">
        <v>454</v>
      </c>
      <c r="CV77" s="17">
        <v>0</v>
      </c>
      <c r="CW77" s="12">
        <v>10.5</v>
      </c>
      <c r="CX77" s="12">
        <v>8.6</v>
      </c>
      <c r="CY77" s="12">
        <v>0.6</v>
      </c>
      <c r="CZ77" s="12">
        <v>0</v>
      </c>
      <c r="DA77" s="12">
        <v>32</v>
      </c>
      <c r="DB77" s="13">
        <f>CZ77/DA77*100</f>
        <v>0</v>
      </c>
      <c r="DC77" s="12">
        <v>0</v>
      </c>
      <c r="DD77" s="12">
        <v>0</v>
      </c>
      <c r="DE77" s="12">
        <v>0</v>
      </c>
      <c r="DF77" s="12">
        <v>0</v>
      </c>
      <c r="DG77" s="12" t="s">
        <v>1718</v>
      </c>
      <c r="DH77" s="16">
        <v>0</v>
      </c>
      <c r="DI77" s="16">
        <v>0</v>
      </c>
      <c r="DJ77" s="11">
        <v>39654</v>
      </c>
      <c r="DK77" s="11"/>
      <c r="DL77" s="12">
        <f>(DJ77-I77)/365.25*12</f>
        <v>4.5010266940451746</v>
      </c>
      <c r="DM77" s="12">
        <v>0</v>
      </c>
      <c r="DN77" s="12" t="s">
        <v>357</v>
      </c>
      <c r="DO77" s="12" t="s">
        <v>357</v>
      </c>
      <c r="DP77" s="19" t="s">
        <v>357</v>
      </c>
      <c r="DQ77" s="16">
        <v>0</v>
      </c>
      <c r="DR77" s="11" t="s">
        <v>45</v>
      </c>
      <c r="DS77" s="10">
        <f>IF(DQ77=1, (DR77-$I77)/365.25*12, IF(DQ77=0, $DL77, "ERROR"))</f>
        <v>4.5010266940451746</v>
      </c>
      <c r="DT77" s="16">
        <v>0</v>
      </c>
      <c r="DU77" s="16">
        <v>0</v>
      </c>
      <c r="DV77" s="16">
        <v>0</v>
      </c>
      <c r="DW77" s="16">
        <f>DU77*(1-DV77)</f>
        <v>0</v>
      </c>
      <c r="DX77" s="16">
        <f>(1-DU77)*DV77</f>
        <v>0</v>
      </c>
      <c r="DY77" s="16">
        <f>DU77*DV77</f>
        <v>0</v>
      </c>
      <c r="DZ77" s="11" t="s">
        <v>45</v>
      </c>
      <c r="EA77" s="10">
        <f>IF(DT77=1, (DZ77-$I77)/365.25*12, IF(DT77=0, $DL77, "ERROR"))</f>
        <v>4.5010266940451746</v>
      </c>
      <c r="EB77" s="16">
        <v>0</v>
      </c>
      <c r="EC77" s="16">
        <v>0</v>
      </c>
      <c r="ED77" s="16">
        <f>1-((1-DQ77)*(1-DT77))</f>
        <v>0</v>
      </c>
      <c r="EE77" s="11" t="s">
        <v>45</v>
      </c>
      <c r="EF77" s="12" t="s">
        <v>357</v>
      </c>
      <c r="EG77" s="16" t="s">
        <v>357</v>
      </c>
      <c r="EH77" s="12" t="s">
        <v>357</v>
      </c>
      <c r="EI77" s="12">
        <v>0</v>
      </c>
      <c r="EJ77" s="16">
        <f>(1-DQ77)*DX77*(1-EI77)</f>
        <v>0</v>
      </c>
      <c r="EK77" s="12" t="s">
        <v>45</v>
      </c>
      <c r="EL77" s="10">
        <f>IF(EI77=1, (EK77-$I77)/365.25*12, IF(EI77=0, $DL77, "ERROR"))</f>
        <v>4.5010266940451746</v>
      </c>
      <c r="EM77" s="12" t="s">
        <v>45</v>
      </c>
      <c r="EN77" s="1">
        <v>0</v>
      </c>
      <c r="EO77" s="1">
        <v>0</v>
      </c>
      <c r="EP77" s="1">
        <v>0</v>
      </c>
      <c r="EQ77" s="1">
        <v>0</v>
      </c>
      <c r="ER77" s="1">
        <v>0</v>
      </c>
      <c r="ES77" s="1">
        <v>0</v>
      </c>
      <c r="ET77" s="1">
        <v>0</v>
      </c>
      <c r="EU77" s="1">
        <v>0</v>
      </c>
      <c r="EV77" s="1">
        <v>0</v>
      </c>
      <c r="EW77" s="1">
        <f>1-((1-EP77)*(1-ET77)*(1-EU77)*(1-EV77))</f>
        <v>0</v>
      </c>
      <c r="EX77" s="16">
        <v>0</v>
      </c>
      <c r="EY77" s="7">
        <v>0</v>
      </c>
      <c r="EZ77" s="7">
        <v>0</v>
      </c>
      <c r="FA77" s="7">
        <v>0</v>
      </c>
      <c r="FB77" s="12" t="s">
        <v>45</v>
      </c>
      <c r="FC77" s="12">
        <v>1</v>
      </c>
      <c r="FD77" s="12">
        <v>1</v>
      </c>
      <c r="FE77" s="12" t="s">
        <v>1717</v>
      </c>
      <c r="FF77" s="18">
        <v>39654</v>
      </c>
      <c r="FG77" s="3">
        <f>IF(FC77=1, FF77, IF(FD77=1, 44348, DJ77))</f>
        <v>39654</v>
      </c>
      <c r="FH77" s="13">
        <f>(FG77-I77)/365.25*12</f>
        <v>4.5010266940451746</v>
      </c>
      <c r="FI77" s="20">
        <f>IF(DM77=1, (DO77-I77)/365.25*12, IF(DM77=0, DL77, "ERROR"))</f>
        <v>4.5010266940451746</v>
      </c>
      <c r="FJ77" s="14">
        <f>IF(OR(DM77,FC77), 1, 0)</f>
        <v>1</v>
      </c>
      <c r="FK77" s="11">
        <f>IF(DM77=1,IF(FC77=1,MIN(DO77,FF77),DO77),IF(FC77=1,FF77,DJ77))</f>
        <v>39654</v>
      </c>
      <c r="FL77" s="13">
        <f>(FK77-$I77)/365.25*12</f>
        <v>4.5010266940451746</v>
      </c>
      <c r="FM77" s="14">
        <f>IF(OR(ED77,FC77), 1, 0)</f>
        <v>1</v>
      </c>
      <c r="FN77" s="11">
        <f>IF(ED77=1,IF(FC77=1,MIN(EE77,FF77),EE77),IF(FC77=1,FF77,DJ77))</f>
        <v>39654</v>
      </c>
      <c r="FO77" s="13">
        <f>(FN77-$I77)/365.25*12</f>
        <v>4.5010266940451746</v>
      </c>
      <c r="FP77" s="14">
        <f>IF(OR(EI77,FC77), 1, 0)</f>
        <v>1</v>
      </c>
      <c r="FQ77" s="11">
        <f>IF(EI77=1,IF(FC77=1,MIN(EK77,FF77),EK77),IF(FC77=1,FF77,DJ77))</f>
        <v>39654</v>
      </c>
      <c r="FR77" s="13">
        <f>(FQ77-$I77)/365.25*12</f>
        <v>4.5010266940451746</v>
      </c>
      <c r="FS77" s="12" t="s">
        <v>357</v>
      </c>
      <c r="FT77" s="12" t="s">
        <v>1716</v>
      </c>
      <c r="FU77" s="12">
        <v>0</v>
      </c>
      <c r="FV77" s="12">
        <v>0</v>
      </c>
      <c r="FW77" s="12">
        <v>0</v>
      </c>
      <c r="FX77" s="12">
        <v>0</v>
      </c>
      <c r="FY77" s="12" t="s">
        <v>1715</v>
      </c>
      <c r="FZ77" s="12"/>
      <c r="GA77" s="1">
        <v>5</v>
      </c>
      <c r="GB77" s="1">
        <v>5</v>
      </c>
      <c r="GC77" s="1">
        <v>2473.634</v>
      </c>
      <c r="GD77" s="1">
        <v>124.0406</v>
      </c>
      <c r="GE77" s="25">
        <v>0.5</v>
      </c>
      <c r="GF77" s="25">
        <v>0.5</v>
      </c>
      <c r="GG77" s="1">
        <v>144.28809999999999</v>
      </c>
      <c r="GH77" s="24">
        <v>117.1507</v>
      </c>
    </row>
    <row r="78" spans="1:190" ht="12.75" customHeight="1">
      <c r="A78" s="1" t="s">
        <v>1446</v>
      </c>
      <c r="B78" s="15" t="s">
        <v>1445</v>
      </c>
      <c r="C78" s="1">
        <v>37509338</v>
      </c>
      <c r="D78" s="1">
        <v>0</v>
      </c>
      <c r="E78" s="1">
        <v>0</v>
      </c>
      <c r="F78" s="1">
        <v>1</v>
      </c>
      <c r="G78" s="12">
        <v>1</v>
      </c>
      <c r="H78" s="1" t="s">
        <v>1444</v>
      </c>
      <c r="I78" s="3">
        <v>43110</v>
      </c>
      <c r="J78" s="3">
        <v>43089</v>
      </c>
      <c r="K78" s="3">
        <v>18876</v>
      </c>
      <c r="L78" s="5">
        <f>(DAYS360(K78,I78))/365</f>
        <v>65.438356164383563</v>
      </c>
      <c r="M78" s="1" t="s">
        <v>5</v>
      </c>
      <c r="N78" s="1">
        <v>1</v>
      </c>
      <c r="O78" s="1">
        <v>0</v>
      </c>
      <c r="P78" s="1" t="s">
        <v>69</v>
      </c>
      <c r="Q78" s="1">
        <v>1</v>
      </c>
      <c r="R78" s="1" t="s">
        <v>209</v>
      </c>
      <c r="S78" s="1">
        <v>32</v>
      </c>
      <c r="T78" s="1" t="s">
        <v>67</v>
      </c>
      <c r="U78" s="1">
        <v>0</v>
      </c>
      <c r="V78" s="1">
        <v>0</v>
      </c>
      <c r="W78" s="1">
        <v>1</v>
      </c>
      <c r="X78" s="1" t="s">
        <v>296</v>
      </c>
      <c r="Y78" s="1">
        <v>2</v>
      </c>
      <c r="Z78" s="1">
        <v>1</v>
      </c>
      <c r="AA78" s="1" t="s">
        <v>65</v>
      </c>
      <c r="AC78" s="1">
        <v>2</v>
      </c>
      <c r="AD78" s="1" t="s">
        <v>1443</v>
      </c>
      <c r="AE78" s="1" t="s">
        <v>114</v>
      </c>
      <c r="AF78" s="1">
        <v>0</v>
      </c>
      <c r="AG78" s="1">
        <v>0</v>
      </c>
      <c r="AH78" s="1">
        <v>0</v>
      </c>
      <c r="AI78" s="3">
        <v>43110</v>
      </c>
      <c r="AJ78" s="3">
        <v>43152</v>
      </c>
      <c r="AK78" s="6" t="s">
        <v>1442</v>
      </c>
      <c r="AL78" s="6" t="s">
        <v>250</v>
      </c>
      <c r="AM78" s="1">
        <v>0</v>
      </c>
      <c r="AN78" s="1">
        <v>0</v>
      </c>
      <c r="AO78" s="1">
        <v>0</v>
      </c>
      <c r="AP78" s="1">
        <v>0</v>
      </c>
      <c r="AQ78" s="1">
        <v>1</v>
      </c>
      <c r="AR78" s="1">
        <v>1</v>
      </c>
      <c r="AS78" s="12">
        <f>IF(AND(AM78=0,AU78&lt;=2), 1, 0)</f>
        <v>1</v>
      </c>
      <c r="AT78" s="12">
        <v>1</v>
      </c>
      <c r="AU78" s="1">
        <v>2</v>
      </c>
      <c r="AV78" s="1">
        <v>0.7</v>
      </c>
      <c r="AW78" s="1">
        <v>0.5</v>
      </c>
      <c r="AX78" s="6" t="s">
        <v>45</v>
      </c>
      <c r="AY78" s="6" t="s">
        <v>45</v>
      </c>
      <c r="AZ78" s="1">
        <v>1</v>
      </c>
      <c r="BA78" s="1">
        <f>-2.4+3.9+0.3</f>
        <v>1.8</v>
      </c>
      <c r="BB78" s="1">
        <f>21.9+11.5</f>
        <v>33.4</v>
      </c>
      <c r="BC78" s="1">
        <v>2</v>
      </c>
      <c r="BD78" s="1">
        <f>5.4-4.2+0.3</f>
        <v>1.5000000000000002</v>
      </c>
      <c r="BE78" s="1">
        <v>171.5</v>
      </c>
      <c r="BF78" s="1" t="s">
        <v>248</v>
      </c>
      <c r="BG78" s="1">
        <v>45</v>
      </c>
      <c r="BH78" s="1">
        <v>45</v>
      </c>
      <c r="BI78" s="1">
        <v>0</v>
      </c>
      <c r="BJ78" s="1">
        <v>0</v>
      </c>
      <c r="BK78" s="1">
        <f>BH78+BI78</f>
        <v>45</v>
      </c>
      <c r="BL78" s="1">
        <v>25</v>
      </c>
      <c r="BM78" s="1">
        <v>1.8</v>
      </c>
      <c r="BN78" s="1" t="s">
        <v>62</v>
      </c>
      <c r="BO78" s="1">
        <v>1</v>
      </c>
      <c r="BP78" s="1">
        <v>1</v>
      </c>
      <c r="BQ78" s="1">
        <v>1</v>
      </c>
      <c r="BR78" s="3">
        <v>43110</v>
      </c>
      <c r="BS78" s="1" t="s">
        <v>109</v>
      </c>
      <c r="BT78" s="12" t="s">
        <v>90</v>
      </c>
      <c r="BU78" s="1">
        <v>2</v>
      </c>
      <c r="BV78" s="1">
        <v>1</v>
      </c>
      <c r="BW78" s="1">
        <v>6.1</v>
      </c>
      <c r="BX78" s="1">
        <v>0.54600000000000004</v>
      </c>
      <c r="BY78" s="1">
        <v>0.39400000000000002</v>
      </c>
      <c r="BZ78" s="1">
        <v>12.9</v>
      </c>
      <c r="CA78" s="1">
        <v>353</v>
      </c>
      <c r="CB78" s="1">
        <v>1.6</v>
      </c>
      <c r="CC78" s="1">
        <v>8.5</v>
      </c>
      <c r="CE78" s="1">
        <v>1</v>
      </c>
      <c r="CF78" s="3">
        <v>43189</v>
      </c>
      <c r="CG78" s="7">
        <f>CF78-AJ78</f>
        <v>37</v>
      </c>
      <c r="CH78" s="1" t="s">
        <v>1441</v>
      </c>
      <c r="CI78" s="12" t="s">
        <v>183</v>
      </c>
      <c r="CJ78" s="17" t="s">
        <v>182</v>
      </c>
      <c r="CK78" s="1" t="s">
        <v>929</v>
      </c>
      <c r="CL78" s="1" t="s">
        <v>753</v>
      </c>
      <c r="CM78" s="1">
        <v>0</v>
      </c>
      <c r="CN78" s="12" t="str">
        <f>MID(CK78,4,1)</f>
        <v>1</v>
      </c>
      <c r="CO78" s="1" t="s">
        <v>1004</v>
      </c>
      <c r="CP78" s="1">
        <v>1</v>
      </c>
      <c r="CQ78" s="1" t="s">
        <v>1440</v>
      </c>
      <c r="CR78" s="1">
        <v>0.8</v>
      </c>
      <c r="CS78" s="1" t="s">
        <v>1014</v>
      </c>
      <c r="CT78" s="1" t="s">
        <v>901</v>
      </c>
      <c r="CU78" s="1" t="s">
        <v>472</v>
      </c>
      <c r="CV78" s="1">
        <v>0</v>
      </c>
      <c r="CW78" s="1">
        <v>4.8</v>
      </c>
      <c r="CX78" s="1">
        <v>15.8</v>
      </c>
      <c r="CY78" s="1">
        <v>0.3</v>
      </c>
      <c r="CZ78" s="1">
        <v>5</v>
      </c>
      <c r="DA78" s="1">
        <v>74</v>
      </c>
      <c r="DB78" s="2">
        <f>CZ78/DA78*100</f>
        <v>6.756756756756757</v>
      </c>
      <c r="DC78" s="1">
        <v>0</v>
      </c>
      <c r="DD78" s="1">
        <v>0</v>
      </c>
      <c r="DE78" s="1">
        <v>0</v>
      </c>
      <c r="DF78" s="1">
        <v>0</v>
      </c>
      <c r="DG78" s="26" t="s">
        <v>1439</v>
      </c>
      <c r="DH78" s="7">
        <v>0</v>
      </c>
      <c r="DI78" s="7">
        <v>0</v>
      </c>
      <c r="DJ78" s="3">
        <v>44088</v>
      </c>
      <c r="DK78" s="1" t="s">
        <v>1438</v>
      </c>
      <c r="DL78" s="12">
        <f>(DJ78-I78)/365.25*12</f>
        <v>32.131416837782339</v>
      </c>
      <c r="DM78" s="1">
        <v>1</v>
      </c>
      <c r="DN78" s="1" t="s">
        <v>1437</v>
      </c>
      <c r="DO78" s="3">
        <v>43482</v>
      </c>
      <c r="DP78" s="6" t="s">
        <v>1436</v>
      </c>
      <c r="DQ78" s="7">
        <v>0</v>
      </c>
      <c r="DR78" s="3" t="s">
        <v>45</v>
      </c>
      <c r="DS78" s="10">
        <f>IF(DQ78=1, (DR78-$I78)/365.25*12, IF(DQ78=0, $DL78, "ERROR"))</f>
        <v>32.131416837782339</v>
      </c>
      <c r="DT78" s="7">
        <v>1</v>
      </c>
      <c r="DU78" s="7">
        <v>0</v>
      </c>
      <c r="DV78" s="7">
        <v>1</v>
      </c>
      <c r="DW78" s="16">
        <f>DU78*(1-DV78)</f>
        <v>0</v>
      </c>
      <c r="DX78" s="16">
        <f>(1-DU78)*DV78</f>
        <v>1</v>
      </c>
      <c r="DY78" s="16">
        <f>DU78*DV78</f>
        <v>0</v>
      </c>
      <c r="DZ78" s="3">
        <v>43482</v>
      </c>
      <c r="EA78" s="10">
        <f>IF(DT78=1, (DZ78-$I78)/365.25*12, IF(DT78=0, $DL78, "ERROR"))</f>
        <v>12.2217659137577</v>
      </c>
      <c r="EB78" s="7">
        <v>1</v>
      </c>
      <c r="EC78" s="7">
        <v>0</v>
      </c>
      <c r="ED78" s="16">
        <f>1-((1-DQ78)*(1-DT78))</f>
        <v>1</v>
      </c>
      <c r="EE78" s="11">
        <f>MIN(DR78,DZ78)</f>
        <v>43482</v>
      </c>
      <c r="EF78" s="1" t="s">
        <v>1435</v>
      </c>
      <c r="EG78" s="7" t="s">
        <v>49</v>
      </c>
      <c r="EH78" s="1" t="s">
        <v>1434</v>
      </c>
      <c r="EI78" s="1">
        <v>0</v>
      </c>
      <c r="EJ78" s="16">
        <f>(1-DQ78)*DX78*(1-EI78)</f>
        <v>1</v>
      </c>
      <c r="EK78" s="1" t="s">
        <v>45</v>
      </c>
      <c r="EL78" s="10">
        <f>IF(EI78=1, (EK78-$I78)/365.25*12, IF(EI78=0, $DL78, "ERROR"))</f>
        <v>32.131416837782339</v>
      </c>
      <c r="EM78" s="1" t="s">
        <v>45</v>
      </c>
      <c r="EN78" s="1">
        <v>0</v>
      </c>
      <c r="EO78" s="1">
        <v>0</v>
      </c>
      <c r="EP78" s="1">
        <v>0</v>
      </c>
      <c r="EQ78" s="1">
        <v>0</v>
      </c>
      <c r="ER78" s="1">
        <v>0</v>
      </c>
      <c r="ES78" s="1">
        <v>0</v>
      </c>
      <c r="ET78" s="1">
        <v>0</v>
      </c>
      <c r="EU78" s="1">
        <v>0</v>
      </c>
      <c r="EV78" s="1">
        <v>0</v>
      </c>
      <c r="EW78" s="1">
        <f>1-((1-EP78)*(1-ET78)*(1-EU78)*(1-EV78))</f>
        <v>0</v>
      </c>
      <c r="EX78" s="7">
        <v>0</v>
      </c>
      <c r="EY78" s="7">
        <v>0</v>
      </c>
      <c r="EZ78" s="7">
        <v>0</v>
      </c>
      <c r="FA78" s="7">
        <v>0</v>
      </c>
      <c r="FB78" s="1" t="s">
        <v>45</v>
      </c>
      <c r="FC78" s="1">
        <v>1</v>
      </c>
      <c r="FD78" s="1">
        <v>1</v>
      </c>
      <c r="FF78" s="3">
        <v>44139</v>
      </c>
      <c r="FG78" s="3">
        <f>IF(FC78=1, FF78, IF(FD78=1, 44348, DJ78))</f>
        <v>44139</v>
      </c>
      <c r="FH78" s="13">
        <f>(FG78-I78)/365.25*12</f>
        <v>33.806981519507183</v>
      </c>
      <c r="FI78" s="20">
        <f>IF(DM78=1, (DO78-I78)/365.25*12, IF(DM78=0, DL78, "ERROR"))</f>
        <v>12.2217659137577</v>
      </c>
      <c r="FJ78" s="14">
        <f>IF(OR(DM78,FC78), 1, 0)</f>
        <v>1</v>
      </c>
      <c r="FK78" s="11">
        <f>IF(DM78=1,IF(FC78=1,MIN(DO78,FF78),DO78),IF(FC78=1,FF78,DJ78))</f>
        <v>43482</v>
      </c>
      <c r="FL78" s="13">
        <f>(FK78-$I78)/365.25*12</f>
        <v>12.2217659137577</v>
      </c>
      <c r="FM78" s="14">
        <f>IF(OR(ED78,FC78), 1, 0)</f>
        <v>1</v>
      </c>
      <c r="FN78" s="11">
        <f>IF(ED78=1,IF(FC78=1,MIN(EE78,FF78),EE78),IF(FC78=1,FF78,DJ78))</f>
        <v>43482</v>
      </c>
      <c r="FO78" s="13">
        <f>(FN78-$I78)/365.25*12</f>
        <v>12.2217659137577</v>
      </c>
      <c r="FP78" s="14">
        <f>IF(OR(EI78,FC78), 1, 0)</f>
        <v>1</v>
      </c>
      <c r="FQ78" s="11">
        <f>IF(EI78=1,IF(FC78=1,MIN(EK78,FF78),EK78),IF(FC78=1,FF78,DJ78))</f>
        <v>44139</v>
      </c>
      <c r="FR78" s="13">
        <f>(FQ78-$I78)/365.25*12</f>
        <v>33.806981519507183</v>
      </c>
      <c r="FS78" s="1" t="s">
        <v>1433</v>
      </c>
      <c r="FT78" s="1" t="s">
        <v>1432</v>
      </c>
      <c r="FU78" s="1">
        <v>1</v>
      </c>
      <c r="FV78" s="1">
        <v>0</v>
      </c>
      <c r="FW78" s="1">
        <v>0</v>
      </c>
      <c r="FX78" s="1">
        <v>0</v>
      </c>
      <c r="GA78" s="1">
        <v>65</v>
      </c>
      <c r="GB78" s="1">
        <v>5</v>
      </c>
      <c r="GC78" s="1">
        <v>1168.4604999999999</v>
      </c>
      <c r="GD78" s="1">
        <v>224.22710000000001</v>
      </c>
      <c r="GE78" s="25">
        <v>2</v>
      </c>
      <c r="GF78" s="25">
        <v>1</v>
      </c>
      <c r="GG78" s="1">
        <v>630.73360000000002</v>
      </c>
      <c r="GH78" s="24">
        <v>478.00409999999999</v>
      </c>
    </row>
    <row r="79" spans="1:190" ht="12.75" customHeight="1">
      <c r="A79" s="1" t="s">
        <v>1218</v>
      </c>
      <c r="B79" s="15" t="s">
        <v>1217</v>
      </c>
      <c r="C79" s="1">
        <v>37567637</v>
      </c>
      <c r="D79" s="1">
        <v>0</v>
      </c>
      <c r="E79" s="1">
        <v>0</v>
      </c>
      <c r="F79" s="1">
        <v>1</v>
      </c>
      <c r="G79" s="12">
        <v>1</v>
      </c>
      <c r="H79" s="1" t="s">
        <v>1216</v>
      </c>
      <c r="I79" s="3">
        <v>41298</v>
      </c>
      <c r="J79" s="3">
        <v>41276</v>
      </c>
      <c r="K79" s="3">
        <v>13352</v>
      </c>
      <c r="L79" s="5">
        <f>(DAYS360(K79,I79))/365</f>
        <v>75.460273972602735</v>
      </c>
      <c r="M79" s="1" t="s">
        <v>5</v>
      </c>
      <c r="N79" s="1">
        <v>1</v>
      </c>
      <c r="O79" s="1">
        <v>0</v>
      </c>
      <c r="P79" s="1" t="s">
        <v>45</v>
      </c>
      <c r="R79" s="1" t="s">
        <v>1215</v>
      </c>
      <c r="S79" s="1" t="s">
        <v>838</v>
      </c>
      <c r="T79" s="1" t="s">
        <v>140</v>
      </c>
      <c r="U79" s="1">
        <v>1</v>
      </c>
      <c r="V79" s="1">
        <v>0</v>
      </c>
      <c r="W79" s="1">
        <v>0</v>
      </c>
      <c r="X79" s="1" t="s">
        <v>933</v>
      </c>
      <c r="Y79" s="1">
        <v>2</v>
      </c>
      <c r="Z79" s="1">
        <v>1</v>
      </c>
      <c r="AA79" s="1" t="s">
        <v>96</v>
      </c>
      <c r="AC79" s="1">
        <v>5</v>
      </c>
      <c r="AD79" s="1" t="s">
        <v>1214</v>
      </c>
      <c r="AE79" s="1" t="s">
        <v>94</v>
      </c>
      <c r="AF79" s="1">
        <v>1</v>
      </c>
      <c r="AG79" s="1">
        <v>1</v>
      </c>
      <c r="AH79" s="1">
        <v>1</v>
      </c>
      <c r="AI79" s="3">
        <v>41298</v>
      </c>
      <c r="AJ79" s="3">
        <v>41339</v>
      </c>
      <c r="AK79" s="6" t="s">
        <v>1213</v>
      </c>
      <c r="AL79" s="6" t="s">
        <v>1212</v>
      </c>
      <c r="AM79" s="1">
        <v>0</v>
      </c>
      <c r="AN79" s="1">
        <v>0</v>
      </c>
      <c r="AO79" s="1">
        <v>0</v>
      </c>
      <c r="AP79" s="1">
        <v>0</v>
      </c>
      <c r="AQ79" s="1">
        <v>0</v>
      </c>
      <c r="AR79" s="1">
        <v>0</v>
      </c>
      <c r="AS79" s="12">
        <f>IF(AND(AM79=0,AU79&lt;=2), 1, 0)</f>
        <v>0</v>
      </c>
      <c r="AT79" s="12">
        <v>0</v>
      </c>
      <c r="AU79" s="1">
        <v>4</v>
      </c>
      <c r="AV79" s="6" t="s">
        <v>111</v>
      </c>
      <c r="AX79" s="1">
        <v>2</v>
      </c>
      <c r="AY79" s="6" t="s">
        <v>111</v>
      </c>
      <c r="AZ79" s="6" t="s">
        <v>111</v>
      </c>
      <c r="BA79" s="1">
        <f>7-2.5+0.5</f>
        <v>5</v>
      </c>
      <c r="BB79" s="1">
        <v>235.2</v>
      </c>
      <c r="BC79" s="1">
        <v>4</v>
      </c>
      <c r="BD79" s="1">
        <v>4</v>
      </c>
      <c r="BE79" s="1">
        <v>459.9</v>
      </c>
      <c r="BF79" s="6" t="s">
        <v>1212</v>
      </c>
      <c r="BG79" s="1">
        <v>45</v>
      </c>
      <c r="BH79" s="1">
        <v>45</v>
      </c>
      <c r="BI79" s="1">
        <v>5.4</v>
      </c>
      <c r="BJ79" s="1">
        <v>1</v>
      </c>
      <c r="BK79" s="1">
        <f>BH79+BI79</f>
        <v>50.4</v>
      </c>
      <c r="BL79" s="1">
        <v>28</v>
      </c>
      <c r="BM79" s="1">
        <v>1.8</v>
      </c>
      <c r="BN79" s="1" t="s">
        <v>110</v>
      </c>
      <c r="BO79" s="1">
        <v>0</v>
      </c>
      <c r="BP79" s="1">
        <v>1</v>
      </c>
      <c r="BQ79" s="1">
        <v>1</v>
      </c>
      <c r="BR79" s="3">
        <v>41298</v>
      </c>
      <c r="BS79" s="1" t="s">
        <v>109</v>
      </c>
      <c r="BT79" s="12" t="s">
        <v>90</v>
      </c>
      <c r="BU79" s="1">
        <v>2</v>
      </c>
      <c r="BV79" s="1">
        <v>1</v>
      </c>
      <c r="BW79" s="1">
        <v>6</v>
      </c>
      <c r="BX79" s="1">
        <v>0.67900000000000005</v>
      </c>
      <c r="BY79" s="1">
        <v>0.189</v>
      </c>
      <c r="BZ79" s="1">
        <v>14.9</v>
      </c>
      <c r="CA79" s="1">
        <v>236</v>
      </c>
      <c r="CB79" s="1">
        <v>1.81</v>
      </c>
      <c r="CC79" s="1">
        <v>20.96</v>
      </c>
      <c r="CD79" s="1">
        <v>7.53</v>
      </c>
      <c r="CE79" s="1">
        <v>1</v>
      </c>
      <c r="CF79" s="3">
        <v>41382</v>
      </c>
      <c r="CG79" s="7">
        <f>CF79-AJ79</f>
        <v>43</v>
      </c>
      <c r="CH79" s="1" t="s">
        <v>1211</v>
      </c>
      <c r="CI79" s="12" t="s">
        <v>183</v>
      </c>
      <c r="CJ79" s="17" t="s">
        <v>182</v>
      </c>
      <c r="CK79" s="1" t="s">
        <v>969</v>
      </c>
      <c r="CL79" s="1" t="s">
        <v>968</v>
      </c>
      <c r="CM79" s="1">
        <v>0</v>
      </c>
      <c r="CN79" s="12" t="str">
        <f>MID(CK79,4,1)</f>
        <v>1</v>
      </c>
      <c r="CO79" s="1" t="s">
        <v>604</v>
      </c>
      <c r="CP79" s="1">
        <v>1</v>
      </c>
      <c r="CQ79" s="1" t="s">
        <v>1210</v>
      </c>
      <c r="CR79" s="1">
        <v>0.4</v>
      </c>
      <c r="CS79" s="1" t="s">
        <v>1209</v>
      </c>
      <c r="CT79" s="1" t="s">
        <v>511</v>
      </c>
      <c r="CU79" s="1" t="s">
        <v>1208</v>
      </c>
      <c r="CV79" s="1">
        <v>0</v>
      </c>
      <c r="CW79" s="1">
        <v>1.5</v>
      </c>
      <c r="CX79" s="1">
        <v>20</v>
      </c>
      <c r="CY79" s="1">
        <v>0.45</v>
      </c>
      <c r="CZ79" s="1">
        <v>1</v>
      </c>
      <c r="DA79" s="1">
        <v>44</v>
      </c>
      <c r="DB79" s="2">
        <f>CZ79/DA79*100</f>
        <v>2.2727272727272729</v>
      </c>
      <c r="DC79" s="1">
        <v>0</v>
      </c>
      <c r="DD79" s="1">
        <v>0</v>
      </c>
      <c r="DE79" s="1">
        <v>0</v>
      </c>
      <c r="DF79" s="1">
        <v>0</v>
      </c>
      <c r="DG79" s="26" t="s">
        <v>1207</v>
      </c>
      <c r="DH79" s="7">
        <v>0</v>
      </c>
      <c r="DI79" s="7">
        <v>0</v>
      </c>
      <c r="DJ79" s="3">
        <v>44657</v>
      </c>
      <c r="DK79" s="1" t="s">
        <v>1206</v>
      </c>
      <c r="DL79" s="12">
        <f>(DJ79-I79)/365.25*12</f>
        <v>110.35728952772075</v>
      </c>
      <c r="DM79" s="1">
        <v>0</v>
      </c>
      <c r="DN79" s="1" t="s">
        <v>45</v>
      </c>
      <c r="DO79" s="1" t="s">
        <v>45</v>
      </c>
      <c r="DP79" s="6" t="s">
        <v>45</v>
      </c>
      <c r="DQ79" s="7">
        <v>0</v>
      </c>
      <c r="DR79" s="3" t="s">
        <v>45</v>
      </c>
      <c r="DS79" s="10">
        <f>IF(DQ79=1, (DR79-$I79)/365.25*12, IF(DQ79=0, $DL79, "ERROR"))</f>
        <v>110.35728952772075</v>
      </c>
      <c r="DT79" s="7">
        <v>0</v>
      </c>
      <c r="DU79" s="7">
        <v>0</v>
      </c>
      <c r="DV79" s="7">
        <v>0</v>
      </c>
      <c r="DW79" s="16">
        <f>DU79*(1-DV79)</f>
        <v>0</v>
      </c>
      <c r="DX79" s="16">
        <f>(1-DU79)*DV79</f>
        <v>0</v>
      </c>
      <c r="DY79" s="16">
        <f>DU79*DV79</f>
        <v>0</v>
      </c>
      <c r="DZ79" s="3" t="s">
        <v>45</v>
      </c>
      <c r="EA79" s="10">
        <f>IF(DT79=1, (DZ79-$I79)/365.25*12, IF(DT79=0, $DL79, "ERROR"))</f>
        <v>110.35728952772075</v>
      </c>
      <c r="EB79" s="7">
        <v>0</v>
      </c>
      <c r="EC79" s="7">
        <v>0</v>
      </c>
      <c r="ED79" s="16">
        <f>1-((1-DQ79)*(1-DT79))</f>
        <v>0</v>
      </c>
      <c r="EE79" s="11" t="s">
        <v>45</v>
      </c>
      <c r="EF79" s="1" t="s">
        <v>45</v>
      </c>
      <c r="EG79" s="7" t="s">
        <v>45</v>
      </c>
      <c r="EH79" s="1" t="s">
        <v>45</v>
      </c>
      <c r="EI79" s="1">
        <v>0</v>
      </c>
      <c r="EJ79" s="16">
        <f>(1-DQ79)*DX79*(1-EI79)</f>
        <v>0</v>
      </c>
      <c r="EK79" s="1" t="s">
        <v>45</v>
      </c>
      <c r="EL79" s="10">
        <f>IF(EI79=1, (EK79-$I79)/365.25*12, IF(EI79=0, $DL79, "ERROR"))</f>
        <v>110.35728952772075</v>
      </c>
      <c r="EM79" s="1" t="s">
        <v>45</v>
      </c>
      <c r="EN79" s="1">
        <v>0</v>
      </c>
      <c r="EO79" s="1">
        <v>0</v>
      </c>
      <c r="EP79" s="1">
        <v>0</v>
      </c>
      <c r="EQ79" s="1">
        <v>0</v>
      </c>
      <c r="ER79" s="1">
        <v>0</v>
      </c>
      <c r="ES79" s="1">
        <v>0</v>
      </c>
      <c r="ET79" s="1">
        <v>0</v>
      </c>
      <c r="EU79" s="1">
        <v>0</v>
      </c>
      <c r="EV79" s="1">
        <v>0</v>
      </c>
      <c r="EW79" s="1">
        <f>1-((1-EP79)*(1-ET79)*(1-EU79)*(1-EV79))</f>
        <v>0</v>
      </c>
      <c r="EX79" s="7">
        <v>0</v>
      </c>
      <c r="EY79" s="7">
        <v>0</v>
      </c>
      <c r="EZ79" s="7">
        <v>0</v>
      </c>
      <c r="FA79" s="7">
        <v>0</v>
      </c>
      <c r="FB79" s="1" t="s">
        <v>45</v>
      </c>
      <c r="FC79" s="1">
        <v>0</v>
      </c>
      <c r="FD79" s="1">
        <v>1</v>
      </c>
      <c r="FF79" s="1" t="s">
        <v>45</v>
      </c>
      <c r="FG79" s="3">
        <f>IF(FC79=1, FF79, IF(FD79=1, 44348, DJ79))</f>
        <v>44348</v>
      </c>
      <c r="FH79" s="13">
        <f>(FG79-I79)/365.25*12</f>
        <v>100.2053388090349</v>
      </c>
      <c r="FI79" s="20">
        <f>IF(DM79=1, (DO79-I79)/365.25*12, IF(DM79=0, DL79, "ERROR"))</f>
        <v>110.35728952772075</v>
      </c>
      <c r="FJ79" s="14">
        <f>IF(OR(DM79,FC79), 1, 0)</f>
        <v>0</v>
      </c>
      <c r="FK79" s="11">
        <f>IF(DM79=1,IF(FC79=1,MIN(DO79,FF79),DO79),IF(FC79=1,FF79,DJ79))</f>
        <v>44657</v>
      </c>
      <c r="FL79" s="13">
        <f>(FK79-$I79)/365.25*12</f>
        <v>110.35728952772075</v>
      </c>
      <c r="FM79" s="14">
        <f>IF(OR(ED79,FC79), 1, 0)</f>
        <v>0</v>
      </c>
      <c r="FN79" s="11">
        <f>IF(ED79=1,IF(FC79=1,MIN(EE79,FF79),EE79),IF(FC79=1,FF79,DJ79))</f>
        <v>44657</v>
      </c>
      <c r="FO79" s="13">
        <f>(FN79-$I79)/365.25*12</f>
        <v>110.35728952772075</v>
      </c>
      <c r="FP79" s="14">
        <f>IF(OR(EI79,FC79), 1, 0)</f>
        <v>0</v>
      </c>
      <c r="FQ79" s="11">
        <f>IF(EI79=1,IF(FC79=1,MIN(EK79,FF79),EK79),IF(FC79=1,FF79,DJ79))</f>
        <v>44657</v>
      </c>
      <c r="FR79" s="13">
        <f>(FQ79-$I79)/365.25*12</f>
        <v>110.35728952772075</v>
      </c>
      <c r="FU79" s="1">
        <v>0</v>
      </c>
      <c r="FV79" s="1">
        <v>0</v>
      </c>
      <c r="FW79" s="1">
        <v>0</v>
      </c>
      <c r="FX79" s="1">
        <v>0</v>
      </c>
      <c r="GA79" s="1">
        <v>0</v>
      </c>
      <c r="GB79" s="1">
        <v>0</v>
      </c>
      <c r="GC79" s="1">
        <v>47.415599999999998</v>
      </c>
      <c r="GD79" s="1">
        <v>14.0505</v>
      </c>
      <c r="GE79" s="25">
        <v>0</v>
      </c>
      <c r="GF79" s="25">
        <v>0</v>
      </c>
      <c r="GG79" s="1">
        <v>171.2046</v>
      </c>
      <c r="GH79" s="24">
        <v>123.70359999999999</v>
      </c>
    </row>
    <row r="80" spans="1:190" ht="12.75" customHeight="1">
      <c r="A80" s="1" t="s">
        <v>922</v>
      </c>
      <c r="B80" s="1" t="s">
        <v>921</v>
      </c>
      <c r="C80" s="1">
        <v>37876076</v>
      </c>
      <c r="D80" s="1">
        <v>1</v>
      </c>
      <c r="E80" s="1">
        <v>0</v>
      </c>
      <c r="F80" s="1">
        <v>1</v>
      </c>
      <c r="G80" s="1">
        <v>1</v>
      </c>
      <c r="I80" s="3">
        <v>43881</v>
      </c>
      <c r="J80" s="3">
        <v>43846</v>
      </c>
      <c r="K80" s="3">
        <v>16974</v>
      </c>
      <c r="L80" s="5">
        <f>(DAYS360(K80,I80))/365</f>
        <v>72.654794520547952</v>
      </c>
      <c r="M80" s="1" t="s">
        <v>5</v>
      </c>
      <c r="N80" s="1">
        <v>1</v>
      </c>
      <c r="O80" s="1">
        <v>0</v>
      </c>
      <c r="P80" s="1" t="s">
        <v>69</v>
      </c>
      <c r="Q80" s="1">
        <v>1</v>
      </c>
      <c r="R80" s="1" t="s">
        <v>18</v>
      </c>
      <c r="S80" s="1" t="s">
        <v>920</v>
      </c>
      <c r="T80" s="1" t="s">
        <v>80</v>
      </c>
      <c r="U80" s="1">
        <v>0</v>
      </c>
      <c r="V80" s="1">
        <v>1</v>
      </c>
      <c r="W80" s="1">
        <v>0</v>
      </c>
      <c r="X80" s="1" t="s">
        <v>296</v>
      </c>
      <c r="Y80" s="1">
        <v>2</v>
      </c>
      <c r="Z80" s="1">
        <v>1</v>
      </c>
      <c r="AA80" s="1" t="s">
        <v>65</v>
      </c>
      <c r="AC80" s="1">
        <v>2</v>
      </c>
      <c r="AD80" s="1" t="s">
        <v>330</v>
      </c>
      <c r="AE80" s="1" t="s">
        <v>114</v>
      </c>
      <c r="AF80" s="1">
        <v>0</v>
      </c>
      <c r="AG80" s="1">
        <v>0</v>
      </c>
      <c r="AH80" s="1">
        <v>0</v>
      </c>
      <c r="AI80" s="3">
        <v>43881</v>
      </c>
      <c r="AJ80" s="3">
        <v>43915</v>
      </c>
      <c r="BA80" s="1">
        <f>5-1.5+0.5</f>
        <v>4</v>
      </c>
      <c r="BG80" s="1">
        <v>45</v>
      </c>
      <c r="BH80" s="1">
        <v>25</v>
      </c>
      <c r="BI80" s="1">
        <v>0</v>
      </c>
      <c r="BJ80" s="1">
        <v>0</v>
      </c>
      <c r="BK80" s="1">
        <v>45</v>
      </c>
      <c r="BL80" s="1">
        <v>25</v>
      </c>
      <c r="BM80" s="1">
        <v>1.8</v>
      </c>
      <c r="BN80" s="1" t="s">
        <v>62</v>
      </c>
      <c r="BO80" s="1">
        <v>1</v>
      </c>
      <c r="BP80" s="1">
        <v>1</v>
      </c>
      <c r="BQ80" s="1">
        <v>1</v>
      </c>
      <c r="BR80" s="3">
        <v>43881</v>
      </c>
      <c r="BS80" s="1" t="s">
        <v>61</v>
      </c>
      <c r="BT80" s="12" t="s">
        <v>60</v>
      </c>
      <c r="BU80" s="1">
        <v>5</v>
      </c>
      <c r="BV80" s="1">
        <v>1</v>
      </c>
      <c r="CE80" s="1">
        <v>1</v>
      </c>
      <c r="CF80" s="3">
        <v>43963</v>
      </c>
      <c r="CG80" s="7">
        <f>CF80-AJ80</f>
        <v>48</v>
      </c>
      <c r="CH80" s="1" t="s">
        <v>919</v>
      </c>
      <c r="CI80" s="1" t="s">
        <v>183</v>
      </c>
      <c r="CJ80" s="1" t="s">
        <v>182</v>
      </c>
      <c r="CK80" s="1" t="s">
        <v>811</v>
      </c>
      <c r="CL80" s="1" t="s">
        <v>45</v>
      </c>
      <c r="CM80" s="1">
        <v>1</v>
      </c>
      <c r="CN80" s="12" t="str">
        <f>MID(CK80,4,1)</f>
        <v>0</v>
      </c>
      <c r="CO80" s="1" t="s">
        <v>911</v>
      </c>
      <c r="CP80" s="1">
        <v>0</v>
      </c>
      <c r="CQ80" s="1" t="s">
        <v>45</v>
      </c>
      <c r="CR80" s="1">
        <v>0</v>
      </c>
      <c r="CS80" s="1" t="s">
        <v>45</v>
      </c>
      <c r="CT80" s="1" t="s">
        <v>45</v>
      </c>
      <c r="CU80" s="1" t="s">
        <v>45</v>
      </c>
      <c r="CV80" s="1">
        <v>0</v>
      </c>
      <c r="CW80" s="1" t="s">
        <v>45</v>
      </c>
      <c r="CX80" s="1" t="s">
        <v>45</v>
      </c>
      <c r="CY80" s="1" t="s">
        <v>45</v>
      </c>
      <c r="CZ80" s="1">
        <v>0</v>
      </c>
      <c r="DA80" s="1">
        <v>30</v>
      </c>
      <c r="DB80" s="2">
        <f>CZ80/DA80*100</f>
        <v>0</v>
      </c>
      <c r="DC80" s="1">
        <v>0</v>
      </c>
      <c r="DD80" s="1">
        <v>0</v>
      </c>
      <c r="DE80" s="1">
        <v>0</v>
      </c>
      <c r="DF80" s="1">
        <v>0</v>
      </c>
      <c r="DG80" s="26" t="s">
        <v>918</v>
      </c>
      <c r="DH80" s="7">
        <v>0</v>
      </c>
      <c r="DI80" s="7">
        <v>0</v>
      </c>
      <c r="DJ80" s="3">
        <v>44741</v>
      </c>
      <c r="DK80" s="1" t="s">
        <v>75</v>
      </c>
      <c r="DL80" s="1">
        <f>(DJ80-I80)/365.25*12</f>
        <v>28.254620123203289</v>
      </c>
      <c r="DM80" s="1">
        <v>0</v>
      </c>
      <c r="DQ80" s="7">
        <v>0</v>
      </c>
      <c r="DT80" s="7">
        <v>0</v>
      </c>
      <c r="DU80" s="7">
        <v>0</v>
      </c>
      <c r="DV80" s="7">
        <v>0</v>
      </c>
      <c r="DW80" s="7">
        <f>DU80*(1-DV80)</f>
        <v>0</v>
      </c>
      <c r="DX80" s="7">
        <f>(1-DU80)*DV80</f>
        <v>0</v>
      </c>
      <c r="DY80" s="7">
        <f>DU80*DV80</f>
        <v>0</v>
      </c>
      <c r="EB80" s="7">
        <v>0</v>
      </c>
      <c r="EC80" s="7">
        <v>0</v>
      </c>
      <c r="ED80" s="7">
        <f>1-((1-DQ80)*(1-DT80))</f>
        <v>0</v>
      </c>
      <c r="EI80" s="1">
        <v>0</v>
      </c>
      <c r="EJ80" s="7">
        <f>(1-DQ80)*DX80*(1-EI80)</f>
        <v>0</v>
      </c>
      <c r="FC80" s="1">
        <v>0</v>
      </c>
      <c r="FD80" s="1">
        <v>0</v>
      </c>
      <c r="FF80" s="1" t="s">
        <v>45</v>
      </c>
      <c r="FI80" s="20">
        <f>IF(DM80=1, (DO80-I80)/365.25*12, IF(DM80=0, DL80, "ERROR"))</f>
        <v>28.254620123203289</v>
      </c>
      <c r="GA80" s="1">
        <v>70</v>
      </c>
      <c r="GB80" s="1">
        <v>0</v>
      </c>
      <c r="GC80" s="1">
        <v>208.79470000000001</v>
      </c>
      <c r="GD80" s="1">
        <v>143.37139999999999</v>
      </c>
      <c r="GE80" s="25">
        <v>0</v>
      </c>
      <c r="GF80" s="25">
        <v>0</v>
      </c>
      <c r="GG80" s="1">
        <v>121.84059999999999</v>
      </c>
      <c r="GH80" s="24">
        <v>75.954999999999998</v>
      </c>
    </row>
    <row r="81" spans="1:190" ht="12.75" customHeight="1">
      <c r="A81" s="1" t="s">
        <v>1423</v>
      </c>
      <c r="B81" s="15" t="s">
        <v>1422</v>
      </c>
      <c r="C81" s="1">
        <v>38062971</v>
      </c>
      <c r="D81" s="1">
        <v>0</v>
      </c>
      <c r="E81" s="1">
        <v>0</v>
      </c>
      <c r="F81" s="1">
        <v>1</v>
      </c>
      <c r="G81" s="12">
        <v>1</v>
      </c>
      <c r="I81" s="3">
        <v>43035</v>
      </c>
      <c r="J81" s="3">
        <v>43006</v>
      </c>
      <c r="K81" s="3">
        <v>19435</v>
      </c>
      <c r="L81" s="5">
        <f>(DAYS360(K81,I81))/365</f>
        <v>63.726027397260275</v>
      </c>
      <c r="M81" s="1" t="s">
        <v>5</v>
      </c>
      <c r="N81" s="1">
        <v>1</v>
      </c>
      <c r="O81" s="1">
        <v>0</v>
      </c>
      <c r="P81" s="1" t="s">
        <v>69</v>
      </c>
      <c r="Q81" s="1">
        <v>1</v>
      </c>
      <c r="R81" s="1" t="s">
        <v>209</v>
      </c>
      <c r="S81" s="1">
        <v>37</v>
      </c>
      <c r="T81" s="1" t="s">
        <v>67</v>
      </c>
      <c r="U81" s="1">
        <v>0</v>
      </c>
      <c r="V81" s="1">
        <v>0</v>
      </c>
      <c r="W81" s="1">
        <v>1</v>
      </c>
      <c r="X81" s="1" t="s">
        <v>296</v>
      </c>
      <c r="Y81" s="1">
        <v>2</v>
      </c>
      <c r="Z81" s="1">
        <v>2</v>
      </c>
      <c r="AA81" s="1" t="s">
        <v>116</v>
      </c>
      <c r="AC81" s="1">
        <v>3</v>
      </c>
      <c r="AD81" s="1" t="s">
        <v>1421</v>
      </c>
      <c r="AE81" s="1" t="s">
        <v>148</v>
      </c>
      <c r="AF81" s="1">
        <v>0</v>
      </c>
      <c r="AG81" s="1">
        <v>0</v>
      </c>
      <c r="AH81" s="1">
        <v>0</v>
      </c>
      <c r="AI81" s="3">
        <v>43035</v>
      </c>
      <c r="AJ81" s="3">
        <v>43069</v>
      </c>
      <c r="AK81" s="6" t="s">
        <v>1328</v>
      </c>
      <c r="AL81" s="6" t="s">
        <v>250</v>
      </c>
      <c r="AM81" s="1">
        <v>0</v>
      </c>
      <c r="AN81" s="1">
        <v>0</v>
      </c>
      <c r="AO81" s="1">
        <v>0</v>
      </c>
      <c r="AP81" s="1">
        <v>0</v>
      </c>
      <c r="AQ81" s="1">
        <v>1</v>
      </c>
      <c r="AR81" s="1">
        <v>1</v>
      </c>
      <c r="AS81" s="12">
        <f>IF(AND(AM81=0,AU81&lt;=2), 1, 0)</f>
        <v>1</v>
      </c>
      <c r="AT81" s="12">
        <v>1</v>
      </c>
      <c r="AU81" s="1">
        <v>2</v>
      </c>
      <c r="AV81" s="1">
        <v>0.5</v>
      </c>
      <c r="AW81" s="1">
        <v>0.7</v>
      </c>
      <c r="AX81" s="6" t="s">
        <v>45</v>
      </c>
      <c r="AY81" s="6" t="s">
        <v>45</v>
      </c>
      <c r="AZ81" s="1">
        <v>1</v>
      </c>
      <c r="BA81" s="1">
        <v>5.7</v>
      </c>
      <c r="BB81" s="1">
        <v>172</v>
      </c>
      <c r="BC81" s="1">
        <v>2</v>
      </c>
      <c r="BD81" s="1">
        <v>1.2</v>
      </c>
      <c r="BE81" s="1">
        <v>477.4</v>
      </c>
      <c r="BF81" s="1" t="s">
        <v>292</v>
      </c>
      <c r="BG81" s="1">
        <v>45</v>
      </c>
      <c r="BH81" s="1">
        <v>45</v>
      </c>
      <c r="BI81" s="1">
        <v>0</v>
      </c>
      <c r="BJ81" s="1">
        <v>0</v>
      </c>
      <c r="BK81" s="1">
        <f>BH81+BI81</f>
        <v>45</v>
      </c>
      <c r="BL81" s="1">
        <v>25</v>
      </c>
      <c r="BM81" s="1">
        <v>1.8</v>
      </c>
      <c r="BN81" s="1" t="s">
        <v>62</v>
      </c>
      <c r="BO81" s="1">
        <v>1</v>
      </c>
      <c r="BP81" s="1">
        <v>1</v>
      </c>
      <c r="BQ81" s="1">
        <v>1</v>
      </c>
      <c r="BR81" s="3">
        <v>43035</v>
      </c>
      <c r="BS81" s="1" t="s">
        <v>61</v>
      </c>
      <c r="BT81" s="12" t="s">
        <v>60</v>
      </c>
      <c r="BU81" s="1">
        <v>5</v>
      </c>
      <c r="BV81" s="1">
        <v>1</v>
      </c>
      <c r="BW81" s="1">
        <v>6.26</v>
      </c>
      <c r="BX81" s="1">
        <v>0.51400000000000001</v>
      </c>
      <c r="BY81" s="1">
        <v>0.35299999999999998</v>
      </c>
      <c r="BZ81" s="1">
        <v>13</v>
      </c>
      <c r="CA81" s="1">
        <v>268</v>
      </c>
      <c r="CB81" s="1">
        <v>1.79</v>
      </c>
      <c r="CC81" s="1">
        <v>22.8</v>
      </c>
      <c r="CD81" s="1">
        <v>5.9</v>
      </c>
      <c r="CE81" s="1">
        <v>1</v>
      </c>
      <c r="CF81" s="3">
        <v>43104</v>
      </c>
      <c r="CG81" s="7">
        <f>CF81-AJ81</f>
        <v>35</v>
      </c>
      <c r="CH81" s="1" t="s">
        <v>1420</v>
      </c>
      <c r="CI81" s="12" t="s">
        <v>183</v>
      </c>
      <c r="CJ81" s="17" t="s">
        <v>182</v>
      </c>
      <c r="CK81" s="1" t="s">
        <v>181</v>
      </c>
      <c r="CL81" s="1" t="s">
        <v>1109</v>
      </c>
      <c r="CM81" s="1">
        <v>0</v>
      </c>
      <c r="CN81" s="12" t="str">
        <f>MID(CK81,4,1)</f>
        <v>3</v>
      </c>
      <c r="CO81" s="1" t="s">
        <v>1004</v>
      </c>
      <c r="CP81" s="1">
        <v>1</v>
      </c>
      <c r="CQ81" s="1" t="s">
        <v>1419</v>
      </c>
      <c r="CR81" s="1">
        <v>0.2</v>
      </c>
      <c r="CS81" s="1" t="s">
        <v>1014</v>
      </c>
      <c r="CT81" s="1" t="s">
        <v>1418</v>
      </c>
      <c r="CU81" s="1" t="s">
        <v>472</v>
      </c>
      <c r="CV81" s="1">
        <v>0</v>
      </c>
      <c r="CW81" s="1">
        <v>8.9</v>
      </c>
      <c r="CX81" s="1">
        <v>5.7</v>
      </c>
      <c r="CY81" s="1">
        <v>0.4</v>
      </c>
      <c r="CZ81" s="1">
        <v>3</v>
      </c>
      <c r="DA81" s="1">
        <v>45</v>
      </c>
      <c r="DB81" s="2">
        <f>CZ81/DA81*100</f>
        <v>6.666666666666667</v>
      </c>
      <c r="DC81" s="1">
        <v>0</v>
      </c>
      <c r="DD81" s="1">
        <v>1</v>
      </c>
      <c r="DE81" s="1">
        <v>0</v>
      </c>
      <c r="DF81" s="1">
        <v>0</v>
      </c>
      <c r="DG81" s="26" t="s">
        <v>1417</v>
      </c>
      <c r="DH81" s="7">
        <v>0</v>
      </c>
      <c r="DI81" s="7">
        <v>0</v>
      </c>
      <c r="DJ81" s="3">
        <v>43177</v>
      </c>
      <c r="DK81" s="1" t="s">
        <v>339</v>
      </c>
      <c r="DL81" s="12">
        <f>(DJ81-I81)/365.25*12</f>
        <v>4.6652977412731005</v>
      </c>
      <c r="DM81" s="1">
        <v>1</v>
      </c>
      <c r="DN81" s="1" t="s">
        <v>1416</v>
      </c>
      <c r="DO81" s="3">
        <v>43167</v>
      </c>
      <c r="DP81" s="6" t="s">
        <v>133</v>
      </c>
      <c r="DQ81" s="7">
        <v>0</v>
      </c>
      <c r="DR81" s="3" t="s">
        <v>45</v>
      </c>
      <c r="DS81" s="10">
        <f>IF(DQ81=1, (DR81-$I81)/365.25*12, IF(DQ81=0, $DL81, "ERROR"))</f>
        <v>4.6652977412731005</v>
      </c>
      <c r="DT81" s="7">
        <v>0</v>
      </c>
      <c r="DU81" s="7">
        <v>0</v>
      </c>
      <c r="DV81" s="7">
        <v>0</v>
      </c>
      <c r="DW81" s="16">
        <f>DU81*(1-DV81)</f>
        <v>0</v>
      </c>
      <c r="DX81" s="16">
        <f>(1-DU81)*DV81</f>
        <v>0</v>
      </c>
      <c r="DY81" s="16">
        <f>DU81*DV81</f>
        <v>0</v>
      </c>
      <c r="DZ81" s="3" t="s">
        <v>45</v>
      </c>
      <c r="EA81" s="10">
        <f>IF(DT81=1, (DZ81-$I81)/365.25*12, IF(DT81=0, $DL81, "ERROR"))</f>
        <v>4.6652977412731005</v>
      </c>
      <c r="EB81" s="7">
        <v>0</v>
      </c>
      <c r="EC81" s="7">
        <v>0</v>
      </c>
      <c r="ED81" s="16">
        <f>1-((1-DQ81)*(1-DT81))</f>
        <v>0</v>
      </c>
      <c r="EE81" s="11" t="s">
        <v>45</v>
      </c>
      <c r="EF81" s="1" t="s">
        <v>45</v>
      </c>
      <c r="EG81" s="7" t="s">
        <v>45</v>
      </c>
      <c r="EH81" s="1" t="s">
        <v>45</v>
      </c>
      <c r="EI81" s="1">
        <v>1</v>
      </c>
      <c r="EJ81" s="16">
        <f>(1-DQ81)*DX81*(1-EI81)</f>
        <v>0</v>
      </c>
      <c r="EK81" s="3">
        <v>43167</v>
      </c>
      <c r="EL81" s="10">
        <f>IF(EI81=1, (EK81-$I81)/365.25*12, IF(EI81=0, $DL81, "ERROR"))</f>
        <v>4.3367556468172488</v>
      </c>
      <c r="EM81" s="1" t="s">
        <v>1416</v>
      </c>
      <c r="EN81" s="7">
        <v>1</v>
      </c>
      <c r="EO81" s="7">
        <v>0</v>
      </c>
      <c r="EP81" s="7">
        <v>0</v>
      </c>
      <c r="EQ81" s="7">
        <v>1</v>
      </c>
      <c r="ER81" s="7">
        <v>0</v>
      </c>
      <c r="ES81" s="7">
        <v>0</v>
      </c>
      <c r="ET81" s="7">
        <v>0</v>
      </c>
      <c r="EU81" s="7">
        <v>0</v>
      </c>
      <c r="EV81" s="7">
        <v>0</v>
      </c>
      <c r="EW81" s="1">
        <f>1-((1-EP81)*(1-ET81)*(1-EU81)*(1-EV81))</f>
        <v>0</v>
      </c>
      <c r="EX81" s="7">
        <v>0</v>
      </c>
      <c r="EY81" s="7">
        <v>0</v>
      </c>
      <c r="EZ81" s="7">
        <v>0</v>
      </c>
      <c r="FA81" s="7">
        <v>0</v>
      </c>
      <c r="FB81" s="1" t="s">
        <v>45</v>
      </c>
      <c r="FC81" s="1">
        <v>1</v>
      </c>
      <c r="FD81" s="1">
        <v>1</v>
      </c>
      <c r="FE81" s="1" t="s">
        <v>291</v>
      </c>
      <c r="FF81" s="3">
        <v>43177</v>
      </c>
      <c r="FG81" s="3">
        <f>IF(FC81=1, FF81, IF(FD81=1, 44348, DJ81))</f>
        <v>43177</v>
      </c>
      <c r="FH81" s="13">
        <f>(FG81-I81)/365.25*12</f>
        <v>4.6652977412731005</v>
      </c>
      <c r="FI81" s="20">
        <f>IF(DM81=1, (DO81-I81)/365.25*12, IF(DM81=0, DL81, "ERROR"))</f>
        <v>4.3367556468172488</v>
      </c>
      <c r="FJ81" s="14">
        <f>IF(OR(DM81,FC81), 1, 0)</f>
        <v>1</v>
      </c>
      <c r="FK81" s="11">
        <f>IF(DM81=1,IF(FC81=1,MIN(DO81,FF81),DO81),IF(FC81=1,FF81,DJ81))</f>
        <v>43167</v>
      </c>
      <c r="FL81" s="13">
        <f>(FK81-$I81)/365.25*12</f>
        <v>4.3367556468172488</v>
      </c>
      <c r="FM81" s="14">
        <f>IF(OR(ED81,FC81), 1, 0)</f>
        <v>1</v>
      </c>
      <c r="FN81" s="11">
        <f>IF(ED81=1,IF(FC81=1,MIN(EE81,FF81),EE81),IF(FC81=1,FF81,DJ81))</f>
        <v>43177</v>
      </c>
      <c r="FO81" s="13">
        <f>(FN81-$I81)/365.25*12</f>
        <v>4.6652977412731005</v>
      </c>
      <c r="FP81" s="14">
        <f>IF(OR(EI81,FC81), 1, 0)</f>
        <v>1</v>
      </c>
      <c r="FQ81" s="11">
        <f>IF(EI81=1,IF(FC81=1,MIN(EK81,FF81),EK81),IF(FC81=1,FF81,DJ81))</f>
        <v>43167</v>
      </c>
      <c r="FR81" s="13">
        <f>(FQ81-$I81)/365.25*12</f>
        <v>4.3367556468172488</v>
      </c>
      <c r="FS81" s="1" t="s">
        <v>1415</v>
      </c>
      <c r="FT81" s="1" t="s">
        <v>45</v>
      </c>
      <c r="FU81" s="1">
        <v>0</v>
      </c>
      <c r="FV81" s="1">
        <v>0</v>
      </c>
      <c r="FW81" s="1">
        <v>0</v>
      </c>
      <c r="FX81" s="1">
        <v>0</v>
      </c>
      <c r="GA81" s="1">
        <v>1</v>
      </c>
      <c r="GB81" s="1">
        <v>1</v>
      </c>
      <c r="GC81" s="1">
        <v>149.87360000000001</v>
      </c>
      <c r="GD81" s="1">
        <v>55.744199999999999</v>
      </c>
      <c r="GE81" s="25">
        <v>10</v>
      </c>
      <c r="GF81" s="25">
        <v>10</v>
      </c>
      <c r="GG81" s="1">
        <v>553.25310000000002</v>
      </c>
      <c r="GH81" s="24">
        <v>517.36940000000004</v>
      </c>
    </row>
    <row r="82" spans="1:190" ht="12.75" customHeight="1">
      <c r="A82" s="1" t="s">
        <v>1279</v>
      </c>
      <c r="B82" s="15" t="s">
        <v>1278</v>
      </c>
      <c r="C82" s="1">
        <v>38302321</v>
      </c>
      <c r="D82" s="1">
        <v>0</v>
      </c>
      <c r="E82" s="1">
        <v>0</v>
      </c>
      <c r="F82" s="1">
        <v>1</v>
      </c>
      <c r="G82" s="12">
        <v>1</v>
      </c>
      <c r="I82" s="3">
        <v>39792</v>
      </c>
      <c r="J82" s="3">
        <v>39776</v>
      </c>
      <c r="K82" s="3">
        <v>18159</v>
      </c>
      <c r="L82" s="5">
        <f>(DAYS360(K82,I82))/365</f>
        <v>58.416438356164385</v>
      </c>
      <c r="M82" s="1" t="s">
        <v>5</v>
      </c>
      <c r="N82" s="1">
        <v>1</v>
      </c>
      <c r="O82" s="1">
        <v>0</v>
      </c>
      <c r="P82" s="1" t="s">
        <v>45</v>
      </c>
      <c r="R82" s="1" t="s">
        <v>209</v>
      </c>
      <c r="S82" s="1" t="s">
        <v>1277</v>
      </c>
      <c r="T82" s="1" t="s">
        <v>80</v>
      </c>
      <c r="U82" s="1">
        <v>0</v>
      </c>
      <c r="V82" s="1">
        <v>1</v>
      </c>
      <c r="W82" s="1">
        <v>0</v>
      </c>
      <c r="X82" s="1" t="s">
        <v>281</v>
      </c>
      <c r="Y82" s="1">
        <v>4</v>
      </c>
      <c r="Z82" s="1">
        <v>1</v>
      </c>
      <c r="AA82" s="1" t="s">
        <v>280</v>
      </c>
      <c r="AC82" s="1">
        <v>4</v>
      </c>
      <c r="AD82" s="1" t="s">
        <v>1276</v>
      </c>
      <c r="AE82" s="1" t="s">
        <v>114</v>
      </c>
      <c r="AF82" s="1">
        <v>0</v>
      </c>
      <c r="AG82" s="1">
        <v>0</v>
      </c>
      <c r="AH82" s="1">
        <v>0</v>
      </c>
      <c r="AI82" s="3">
        <v>39792</v>
      </c>
      <c r="AJ82" s="3">
        <v>39834</v>
      </c>
      <c r="AK82" s="6" t="s">
        <v>45</v>
      </c>
      <c r="AL82" s="6" t="s">
        <v>1275</v>
      </c>
      <c r="AM82" s="1">
        <v>1</v>
      </c>
      <c r="AN82" s="1">
        <v>1</v>
      </c>
      <c r="AO82" s="1">
        <v>0</v>
      </c>
      <c r="AP82" s="1">
        <v>0</v>
      </c>
      <c r="AQ82" s="1">
        <v>0</v>
      </c>
      <c r="AR82" s="1">
        <v>0</v>
      </c>
      <c r="AS82" s="1">
        <v>0</v>
      </c>
      <c r="AT82" s="1">
        <v>0</v>
      </c>
      <c r="AU82" s="6" t="s">
        <v>45</v>
      </c>
      <c r="AV82" s="6" t="s">
        <v>45</v>
      </c>
      <c r="AW82" s="6" t="s">
        <v>45</v>
      </c>
      <c r="AX82" s="6" t="s">
        <v>45</v>
      </c>
      <c r="AY82" s="6" t="s">
        <v>45</v>
      </c>
      <c r="AZ82" s="6" t="s">
        <v>45</v>
      </c>
      <c r="BA82" s="1">
        <v>12</v>
      </c>
      <c r="BF82" s="6" t="s">
        <v>1275</v>
      </c>
      <c r="BG82" s="1" t="s">
        <v>1253</v>
      </c>
      <c r="BH82" s="1">
        <v>45</v>
      </c>
      <c r="BI82" s="1">
        <v>5.4</v>
      </c>
      <c r="BJ82" s="1">
        <v>1</v>
      </c>
      <c r="BK82" s="1">
        <f>BH82+BI82</f>
        <v>50.4</v>
      </c>
      <c r="BL82" s="1">
        <v>28</v>
      </c>
      <c r="BM82" s="1">
        <v>1.8</v>
      </c>
      <c r="BN82" s="1" t="s">
        <v>110</v>
      </c>
      <c r="BO82" s="1">
        <v>0</v>
      </c>
      <c r="BP82" s="1">
        <v>1</v>
      </c>
      <c r="BQ82" s="1">
        <v>1</v>
      </c>
      <c r="BR82" s="3">
        <v>39792</v>
      </c>
      <c r="BS82" s="1" t="s">
        <v>109</v>
      </c>
      <c r="BT82" s="12" t="s">
        <v>90</v>
      </c>
      <c r="BU82" s="1">
        <v>1</v>
      </c>
      <c r="BV82" s="1">
        <v>0</v>
      </c>
      <c r="BW82" s="1">
        <v>14.31</v>
      </c>
      <c r="BX82" s="1">
        <v>0.58599999999999997</v>
      </c>
      <c r="BY82" s="1">
        <v>0.27</v>
      </c>
      <c r="BZ82" s="1">
        <v>11.8</v>
      </c>
      <c r="CA82" s="1">
        <v>358</v>
      </c>
      <c r="CB82" s="1">
        <v>1.78</v>
      </c>
      <c r="CC82" s="1">
        <v>19.440000000000001</v>
      </c>
      <c r="CD82" s="1">
        <v>5.7</v>
      </c>
      <c r="CE82" s="1">
        <v>1</v>
      </c>
      <c r="CF82" s="3">
        <v>39861</v>
      </c>
      <c r="CG82" s="7">
        <f>CF82-AJ82</f>
        <v>27</v>
      </c>
      <c r="CH82" s="1" t="s">
        <v>1274</v>
      </c>
      <c r="CI82" s="17" t="s">
        <v>460</v>
      </c>
      <c r="CJ82" s="1" t="s">
        <v>1273</v>
      </c>
      <c r="CK82" s="1" t="s">
        <v>980</v>
      </c>
      <c r="CL82" s="1" t="s">
        <v>1055</v>
      </c>
      <c r="CM82" s="1">
        <v>0</v>
      </c>
      <c r="CN82" s="12" t="str">
        <f>MID(CK82,4,1)</f>
        <v>3</v>
      </c>
      <c r="CO82" s="1" t="s">
        <v>45</v>
      </c>
      <c r="CP82" s="1" t="s">
        <v>45</v>
      </c>
      <c r="CQ82" s="1" t="s">
        <v>1272</v>
      </c>
      <c r="CR82" s="1">
        <v>1.1000000000000001</v>
      </c>
      <c r="CS82" s="1" t="s">
        <v>1209</v>
      </c>
      <c r="CT82" s="1" t="s">
        <v>511</v>
      </c>
      <c r="CU82" s="1" t="s">
        <v>1271</v>
      </c>
      <c r="CV82" s="1">
        <v>0</v>
      </c>
      <c r="CW82" s="1">
        <v>10</v>
      </c>
      <c r="CX82" s="1">
        <v>7.3</v>
      </c>
      <c r="CY82" s="1">
        <v>0.3</v>
      </c>
      <c r="CZ82" s="1">
        <v>0</v>
      </c>
      <c r="DA82" s="1">
        <v>37</v>
      </c>
      <c r="DB82" s="2">
        <f>CZ82/DA82*100</f>
        <v>0</v>
      </c>
      <c r="DC82" s="1">
        <v>0</v>
      </c>
      <c r="DD82" s="1">
        <v>0</v>
      </c>
      <c r="DE82" s="1">
        <v>0</v>
      </c>
      <c r="DF82" s="1">
        <v>0</v>
      </c>
      <c r="DG82" s="26" t="s">
        <v>1270</v>
      </c>
      <c r="DH82" s="7">
        <v>0</v>
      </c>
      <c r="DI82" s="7">
        <v>0</v>
      </c>
      <c r="DJ82" s="3">
        <v>40511</v>
      </c>
      <c r="DK82" s="1" t="s">
        <v>75</v>
      </c>
      <c r="DL82" s="12">
        <f>(DJ82-I82)/365.25*12</f>
        <v>23.622176591375769</v>
      </c>
      <c r="DM82" s="1">
        <v>0</v>
      </c>
      <c r="DN82" s="1" t="s">
        <v>45</v>
      </c>
      <c r="DO82" s="1" t="s">
        <v>45</v>
      </c>
      <c r="DP82" s="6" t="s">
        <v>45</v>
      </c>
      <c r="DQ82" s="7">
        <v>0</v>
      </c>
      <c r="DR82" s="3" t="s">
        <v>45</v>
      </c>
      <c r="DS82" s="10">
        <f>IF(DQ82=1, (DR82-$I82)/365.25*12, IF(DQ82=0, $DL82, "ERROR"))</f>
        <v>23.622176591375769</v>
      </c>
      <c r="DT82" s="7">
        <v>0</v>
      </c>
      <c r="DU82" s="7">
        <v>0</v>
      </c>
      <c r="DV82" s="7">
        <v>0</v>
      </c>
      <c r="DW82" s="16">
        <f>DU82*(1-DV82)</f>
        <v>0</v>
      </c>
      <c r="DX82" s="16">
        <f>(1-DU82)*DV82</f>
        <v>0</v>
      </c>
      <c r="DY82" s="16">
        <f>DU82*DV82</f>
        <v>0</v>
      </c>
      <c r="DZ82" s="3" t="s">
        <v>45</v>
      </c>
      <c r="EA82" s="10">
        <f>IF(DT82=1, (DZ82-$I82)/365.25*12, IF(DT82=0, $DL82, "ERROR"))</f>
        <v>23.622176591375769</v>
      </c>
      <c r="EB82" s="7">
        <v>0</v>
      </c>
      <c r="EC82" s="7">
        <v>0</v>
      </c>
      <c r="ED82" s="16">
        <f>1-((1-DQ82)*(1-DT82))</f>
        <v>0</v>
      </c>
      <c r="EE82" s="11" t="s">
        <v>45</v>
      </c>
      <c r="EF82" s="1" t="s">
        <v>45</v>
      </c>
      <c r="EG82" s="7" t="s">
        <v>45</v>
      </c>
      <c r="EH82" s="1" t="s">
        <v>45</v>
      </c>
      <c r="EI82" s="1">
        <v>0</v>
      </c>
      <c r="EJ82" s="16">
        <f>(1-DQ82)*DX82*(1-EI82)</f>
        <v>0</v>
      </c>
      <c r="EK82" s="1" t="s">
        <v>45</v>
      </c>
      <c r="EL82" s="10">
        <f>IF(EI82=1, (EK82-$I82)/365.25*12, IF(EI82=0, $DL82, "ERROR"))</f>
        <v>23.622176591375769</v>
      </c>
      <c r="EM82" s="1" t="s">
        <v>45</v>
      </c>
      <c r="EN82" s="1">
        <v>0</v>
      </c>
      <c r="EO82" s="1">
        <v>0</v>
      </c>
      <c r="EP82" s="1">
        <v>0</v>
      </c>
      <c r="EQ82" s="1">
        <v>0</v>
      </c>
      <c r="ER82" s="1">
        <v>0</v>
      </c>
      <c r="ES82" s="1">
        <v>0</v>
      </c>
      <c r="ET82" s="1">
        <v>0</v>
      </c>
      <c r="EU82" s="1">
        <v>0</v>
      </c>
      <c r="EV82" s="1">
        <v>0</v>
      </c>
      <c r="EW82" s="1">
        <f>1-((1-EP82)*(1-ET82)*(1-EU82)*(1-EV82))</f>
        <v>0</v>
      </c>
      <c r="EX82" s="7">
        <v>0</v>
      </c>
      <c r="EY82" s="7">
        <v>0</v>
      </c>
      <c r="EZ82" s="7">
        <v>0</v>
      </c>
      <c r="FA82" s="7">
        <v>0</v>
      </c>
      <c r="FB82" s="1" t="s">
        <v>45</v>
      </c>
      <c r="FC82" s="1">
        <v>1</v>
      </c>
      <c r="FD82" s="1">
        <v>1</v>
      </c>
      <c r="FF82" s="3">
        <v>40550</v>
      </c>
      <c r="FG82" s="3">
        <f>IF(FC82=1, FF82, IF(FD82=1, 44348, DJ82))</f>
        <v>40550</v>
      </c>
      <c r="FH82" s="13">
        <f>(FG82-I82)/365.25*12</f>
        <v>24.903490759753595</v>
      </c>
      <c r="FI82" s="20">
        <f>IF(DM82=1, (DO82-I82)/365.25*12, IF(DM82=0, DL82, "ERROR"))</f>
        <v>23.622176591375769</v>
      </c>
      <c r="FJ82" s="14">
        <f>IF(OR(DM82,FC82), 1, 0)</f>
        <v>1</v>
      </c>
      <c r="FK82" s="11">
        <f>IF(DM82=1,IF(FC82=1,MIN(DO82,FF82),DO82),IF(FC82=1,FF82,DJ82))</f>
        <v>40550</v>
      </c>
      <c r="FL82" s="13">
        <f>(FK82-$I82)/365.25*12</f>
        <v>24.903490759753595</v>
      </c>
      <c r="FM82" s="14">
        <f>IF(OR(ED82,FC82), 1, 0)</f>
        <v>1</v>
      </c>
      <c r="FN82" s="11">
        <f>IF(ED82=1,IF(FC82=1,MIN(EE82,FF82),EE82),IF(FC82=1,FF82,DJ82))</f>
        <v>40550</v>
      </c>
      <c r="FO82" s="13">
        <f>(FN82-$I82)/365.25*12</f>
        <v>24.903490759753595</v>
      </c>
      <c r="FP82" s="14">
        <f>IF(OR(EI82,FC82), 1, 0)</f>
        <v>1</v>
      </c>
      <c r="FQ82" s="11">
        <f>IF(EI82=1,IF(FC82=1,MIN(EK82,FF82),EK82),IF(FC82=1,FF82,DJ82))</f>
        <v>40550</v>
      </c>
      <c r="FR82" s="13">
        <f>(FQ82-$I82)/365.25*12</f>
        <v>24.903490759753595</v>
      </c>
      <c r="FU82" s="1">
        <v>0</v>
      </c>
      <c r="FV82" s="1">
        <v>0</v>
      </c>
      <c r="FW82" s="1">
        <v>0</v>
      </c>
      <c r="FX82" s="1">
        <v>0</v>
      </c>
      <c r="GA82" s="1">
        <v>10</v>
      </c>
      <c r="GB82" s="1">
        <v>10</v>
      </c>
      <c r="GC82" s="1">
        <v>2511.9548</v>
      </c>
      <c r="GD82" s="1">
        <v>294.32819999999998</v>
      </c>
      <c r="GE82" s="25">
        <v>0</v>
      </c>
      <c r="GF82" s="25">
        <v>0</v>
      </c>
      <c r="GG82" s="1">
        <v>1630.9195</v>
      </c>
      <c r="GH82" s="24">
        <v>499.55450000000002</v>
      </c>
    </row>
    <row r="83" spans="1:190" ht="12.75" customHeight="1">
      <c r="A83" s="1" t="s">
        <v>1526</v>
      </c>
      <c r="B83" s="15" t="s">
        <v>1525</v>
      </c>
      <c r="C83" s="1">
        <v>38581294</v>
      </c>
      <c r="D83" s="1">
        <v>0</v>
      </c>
      <c r="E83" s="1">
        <v>0</v>
      </c>
      <c r="F83" s="1">
        <v>1</v>
      </c>
      <c r="G83" s="12">
        <v>1</v>
      </c>
      <c r="I83" s="3">
        <v>43024</v>
      </c>
      <c r="J83" s="3">
        <v>42991</v>
      </c>
      <c r="K83" s="3">
        <v>25947</v>
      </c>
      <c r="L83" s="5">
        <f>(DAYS360(K83,I83))/365</f>
        <v>46.115068493150687</v>
      </c>
      <c r="M83" s="1" t="s">
        <v>5</v>
      </c>
      <c r="N83" s="1">
        <v>2</v>
      </c>
      <c r="O83" s="1">
        <v>0</v>
      </c>
      <c r="P83" s="1" t="s">
        <v>69</v>
      </c>
      <c r="Q83" s="1">
        <v>1</v>
      </c>
      <c r="R83" s="1" t="s">
        <v>209</v>
      </c>
      <c r="S83" s="1" t="s">
        <v>1524</v>
      </c>
      <c r="T83" s="1" t="s">
        <v>150</v>
      </c>
      <c r="U83" s="1">
        <v>0</v>
      </c>
      <c r="V83" s="1">
        <v>1</v>
      </c>
      <c r="W83" s="1">
        <v>1</v>
      </c>
      <c r="X83" s="1" t="s">
        <v>187</v>
      </c>
      <c r="Y83" s="1">
        <v>3</v>
      </c>
      <c r="Z83" s="1">
        <v>2</v>
      </c>
      <c r="AA83" s="1" t="s">
        <v>116</v>
      </c>
      <c r="AC83" s="1">
        <v>3</v>
      </c>
      <c r="AD83" s="1" t="s">
        <v>1523</v>
      </c>
      <c r="AE83" s="1" t="s">
        <v>114</v>
      </c>
      <c r="AF83" s="1">
        <v>0</v>
      </c>
      <c r="AG83" s="1">
        <v>0</v>
      </c>
      <c r="AH83" s="1">
        <v>0</v>
      </c>
      <c r="AI83" s="3">
        <v>43024</v>
      </c>
      <c r="AJ83" s="3">
        <v>43056</v>
      </c>
      <c r="AK83" s="6" t="s">
        <v>1459</v>
      </c>
      <c r="AL83" s="6" t="s">
        <v>250</v>
      </c>
      <c r="AM83" s="1">
        <v>0</v>
      </c>
      <c r="AN83" s="1">
        <v>0</v>
      </c>
      <c r="AO83" s="1">
        <v>0</v>
      </c>
      <c r="AP83" s="1">
        <v>0</v>
      </c>
      <c r="AQ83" s="1">
        <v>1</v>
      </c>
      <c r="AR83" s="1">
        <v>1</v>
      </c>
      <c r="AS83" s="12">
        <f>IF(AND(AM83=0,AU83&lt;=2), 1, 0)</f>
        <v>1</v>
      </c>
      <c r="AT83" s="12">
        <v>1</v>
      </c>
      <c r="AU83" s="1">
        <v>2</v>
      </c>
      <c r="AV83" s="1">
        <v>0.5</v>
      </c>
      <c r="AW83" s="1">
        <v>0.7</v>
      </c>
      <c r="AX83" s="6" t="s">
        <v>45</v>
      </c>
      <c r="AY83" s="6" t="s">
        <v>45</v>
      </c>
      <c r="AZ83" s="1">
        <v>1</v>
      </c>
      <c r="BA83" s="1">
        <f>3.6+2.7+0.3</f>
        <v>6.6000000000000005</v>
      </c>
      <c r="BB83" s="1">
        <v>171.6</v>
      </c>
      <c r="BC83" s="1">
        <v>2</v>
      </c>
      <c r="BD83" s="1">
        <v>2</v>
      </c>
      <c r="BE83" s="1">
        <v>489</v>
      </c>
      <c r="BF83" s="1" t="s">
        <v>1484</v>
      </c>
      <c r="BG83" s="1">
        <v>45</v>
      </c>
      <c r="BH83" s="1">
        <v>45</v>
      </c>
      <c r="BI83" s="1">
        <v>0</v>
      </c>
      <c r="BJ83" s="1">
        <v>0</v>
      </c>
      <c r="BK83" s="1">
        <f>BH83+BI83</f>
        <v>45</v>
      </c>
      <c r="BL83" s="1">
        <v>25</v>
      </c>
      <c r="BM83" s="1">
        <v>1.8</v>
      </c>
      <c r="BN83" s="1" t="s">
        <v>62</v>
      </c>
      <c r="BO83" s="1">
        <v>1</v>
      </c>
      <c r="BP83" s="1">
        <v>1</v>
      </c>
      <c r="BQ83" s="1">
        <v>1</v>
      </c>
      <c r="BR83" s="3">
        <v>43015</v>
      </c>
      <c r="BS83" s="1" t="s">
        <v>61</v>
      </c>
      <c r="BT83" s="12" t="s">
        <v>60</v>
      </c>
      <c r="BU83" s="1">
        <v>5</v>
      </c>
      <c r="BV83" s="1">
        <v>1</v>
      </c>
      <c r="BW83" s="1">
        <v>7</v>
      </c>
      <c r="BX83" s="1">
        <v>0.53100000000000003</v>
      </c>
      <c r="BY83" s="1">
        <v>0.33800000000000002</v>
      </c>
      <c r="BZ83" s="1">
        <v>13.8</v>
      </c>
      <c r="CA83" s="1">
        <v>387</v>
      </c>
      <c r="CB83" s="1">
        <v>1.6</v>
      </c>
      <c r="CC83" s="1">
        <v>17.899999999999999</v>
      </c>
      <c r="CD83" s="1">
        <v>7.1</v>
      </c>
      <c r="CE83" s="1">
        <v>1</v>
      </c>
      <c r="CF83" s="3">
        <v>43144</v>
      </c>
      <c r="CG83" s="7">
        <f>CF83-AJ83</f>
        <v>88</v>
      </c>
      <c r="CH83" s="1" t="s">
        <v>1522</v>
      </c>
      <c r="CI83" s="12" t="s">
        <v>183</v>
      </c>
      <c r="CJ83" s="17" t="s">
        <v>182</v>
      </c>
      <c r="CK83" s="1" t="s">
        <v>969</v>
      </c>
      <c r="CL83" s="1" t="s">
        <v>968</v>
      </c>
      <c r="CM83" s="1">
        <v>0</v>
      </c>
      <c r="CN83" s="12" t="str">
        <f>MID(CK83,4,1)</f>
        <v>1</v>
      </c>
      <c r="CO83" s="1" t="s">
        <v>650</v>
      </c>
      <c r="CP83" s="1">
        <v>2</v>
      </c>
      <c r="CQ83" s="1" t="s">
        <v>1521</v>
      </c>
      <c r="CR83" s="1">
        <v>2</v>
      </c>
      <c r="CS83" s="1" t="s">
        <v>1014</v>
      </c>
      <c r="CT83" s="1" t="s">
        <v>473</v>
      </c>
      <c r="CU83" s="1" t="s">
        <v>472</v>
      </c>
      <c r="CV83" s="1">
        <v>0</v>
      </c>
      <c r="CW83" s="1">
        <v>6.2</v>
      </c>
      <c r="CX83" s="1">
        <v>5.0999999999999996</v>
      </c>
      <c r="CY83" s="1">
        <v>0.5</v>
      </c>
      <c r="CZ83" s="1">
        <v>1</v>
      </c>
      <c r="DA83" s="1">
        <v>70</v>
      </c>
      <c r="DB83" s="2">
        <f>CZ83/DA83*100</f>
        <v>1.4285714285714286</v>
      </c>
      <c r="DC83" s="1">
        <v>1</v>
      </c>
      <c r="DD83" s="1">
        <v>0</v>
      </c>
      <c r="DE83" s="1">
        <v>0</v>
      </c>
      <c r="DF83" s="1">
        <v>1</v>
      </c>
      <c r="DG83" s="26" t="s">
        <v>1520</v>
      </c>
      <c r="DH83" s="7">
        <v>0</v>
      </c>
      <c r="DI83" s="7">
        <v>0</v>
      </c>
      <c r="DJ83" s="3">
        <v>43717</v>
      </c>
      <c r="DK83" s="1" t="s">
        <v>108</v>
      </c>
      <c r="DL83" s="12">
        <f>(DJ83-I83)/365.25*12</f>
        <v>22.767967145790553</v>
      </c>
      <c r="DM83" s="1">
        <v>1</v>
      </c>
      <c r="DN83" s="1" t="s">
        <v>1519</v>
      </c>
      <c r="DO83" s="3">
        <v>43582</v>
      </c>
      <c r="DP83" s="6" t="s">
        <v>1452</v>
      </c>
      <c r="DQ83" s="7">
        <v>0</v>
      </c>
      <c r="DR83" s="3" t="s">
        <v>45</v>
      </c>
      <c r="DS83" s="10">
        <f>IF(DQ83=1, (DR83-$I83)/365.25*12, IF(DQ83=0, $DL83, "ERROR"))</f>
        <v>22.767967145790553</v>
      </c>
      <c r="DT83" s="7">
        <v>1</v>
      </c>
      <c r="DU83" s="7">
        <v>0</v>
      </c>
      <c r="DV83" s="7">
        <v>1</v>
      </c>
      <c r="DW83" s="16">
        <f>DU83*(1-DV83)</f>
        <v>0</v>
      </c>
      <c r="DX83" s="16">
        <f>(1-DU83)*DV83</f>
        <v>1</v>
      </c>
      <c r="DY83" s="16">
        <f>DU83*DV83</f>
        <v>0</v>
      </c>
      <c r="DZ83" s="3">
        <v>43582</v>
      </c>
      <c r="EA83" s="10">
        <f>IF(DT83=1, (DZ83-$I83)/365.25*12, IF(DT83=0, $DL83, "ERROR"))</f>
        <v>18.33264887063655</v>
      </c>
      <c r="EB83" s="7">
        <v>1</v>
      </c>
      <c r="EC83" s="7">
        <v>0</v>
      </c>
      <c r="ED83" s="16">
        <f>1-((1-DQ83)*(1-DT83))</f>
        <v>1</v>
      </c>
      <c r="EE83" s="11">
        <f>MIN(DR83,DZ83)</f>
        <v>43582</v>
      </c>
      <c r="EF83" s="1" t="s">
        <v>1518</v>
      </c>
      <c r="EG83" s="7" t="s">
        <v>45</v>
      </c>
      <c r="EH83" s="1" t="s">
        <v>45</v>
      </c>
      <c r="EI83" s="1">
        <v>1</v>
      </c>
      <c r="EJ83" s="16">
        <f>(1-DQ83)*DX83*(1-EI83)</f>
        <v>0</v>
      </c>
      <c r="EK83" s="3">
        <v>43582</v>
      </c>
      <c r="EL83" s="10">
        <f>IF(EI83=1, (EK83-$I83)/365.25*12, IF(EI83=0, $DL83, "ERROR"))</f>
        <v>18.33264887063655</v>
      </c>
      <c r="EM83" s="1" t="s">
        <v>1517</v>
      </c>
      <c r="EN83" s="7">
        <v>1</v>
      </c>
      <c r="EO83" s="7">
        <v>0</v>
      </c>
      <c r="EP83" s="7">
        <v>0</v>
      </c>
      <c r="EQ83" s="7">
        <v>0</v>
      </c>
      <c r="ER83" s="7">
        <v>0</v>
      </c>
      <c r="ES83" s="7">
        <v>0</v>
      </c>
      <c r="ET83" s="7">
        <v>1</v>
      </c>
      <c r="EU83" s="7">
        <v>0</v>
      </c>
      <c r="EV83" s="7">
        <v>0</v>
      </c>
      <c r="EW83" s="1">
        <f>1-((1-EP83)*(1-ET83)*(1-EU83)*(1-EV83))</f>
        <v>1</v>
      </c>
      <c r="EX83" s="7">
        <v>0</v>
      </c>
      <c r="EY83" s="7">
        <v>0</v>
      </c>
      <c r="EZ83" s="7">
        <v>0</v>
      </c>
      <c r="FA83" s="7">
        <v>0</v>
      </c>
      <c r="FB83" s="1" t="s">
        <v>45</v>
      </c>
      <c r="FC83" s="1">
        <v>1</v>
      </c>
      <c r="FD83" s="1">
        <v>1</v>
      </c>
      <c r="FF83" s="3">
        <v>43739</v>
      </c>
      <c r="FG83" s="3">
        <f>IF(FC83=1, FF83, IF(FD83=1, 44348, DJ83))</f>
        <v>43739</v>
      </c>
      <c r="FH83" s="13">
        <f>(FG83-I83)/365.25*12</f>
        <v>23.49075975359343</v>
      </c>
      <c r="FI83" s="20">
        <f>IF(DM83=1, (DO83-I83)/365.25*12, IF(DM83=0, DL83, "ERROR"))</f>
        <v>18.33264887063655</v>
      </c>
      <c r="FJ83" s="14">
        <f>IF(OR(DM83,FC83), 1, 0)</f>
        <v>1</v>
      </c>
      <c r="FK83" s="11">
        <f>IF(DM83=1,IF(FC83=1,MIN(DO83,FF83),DO83),IF(FC83=1,FF83,DJ83))</f>
        <v>43582</v>
      </c>
      <c r="FL83" s="13">
        <f>(FK83-$I83)/365.25*12</f>
        <v>18.33264887063655</v>
      </c>
      <c r="FM83" s="14">
        <f>IF(OR(ED83,FC83), 1, 0)</f>
        <v>1</v>
      </c>
      <c r="FN83" s="11">
        <f>IF(ED83=1,IF(FC83=1,MIN(EE83,FF83),EE83),IF(FC83=1,FF83,DJ83))</f>
        <v>43582</v>
      </c>
      <c r="FO83" s="13">
        <f>(FN83-$I83)/365.25*12</f>
        <v>18.33264887063655</v>
      </c>
      <c r="FP83" s="14">
        <f>IF(OR(EI83,FC83), 1, 0)</f>
        <v>1</v>
      </c>
      <c r="FQ83" s="11">
        <f>IF(EI83=1,IF(FC83=1,MIN(EK83,FF83),EK83),IF(FC83=1,FF83,DJ83))</f>
        <v>43582</v>
      </c>
      <c r="FR83" s="13">
        <f>(FQ83-$I83)/365.25*12</f>
        <v>18.33264887063655</v>
      </c>
      <c r="FS83" s="1" t="s">
        <v>45</v>
      </c>
      <c r="FT83" s="1" t="s">
        <v>45</v>
      </c>
      <c r="FU83" s="1">
        <v>0</v>
      </c>
      <c r="FV83" s="1">
        <v>0</v>
      </c>
      <c r="FW83" s="1">
        <v>0</v>
      </c>
      <c r="FX83" s="1">
        <v>0</v>
      </c>
      <c r="GA83" s="1">
        <v>1</v>
      </c>
      <c r="GB83" s="1">
        <v>1</v>
      </c>
      <c r="GC83" s="1">
        <v>114.0998</v>
      </c>
      <c r="GD83" s="1">
        <v>50.517800000000001</v>
      </c>
      <c r="GE83" s="25">
        <v>1</v>
      </c>
      <c r="GF83" s="25">
        <v>1</v>
      </c>
      <c r="GG83" s="1">
        <v>1926.5989</v>
      </c>
      <c r="GH83" s="24">
        <v>357.68990000000002</v>
      </c>
    </row>
    <row r="84" spans="1:190" ht="12.75" customHeight="1">
      <c r="A84" s="1" t="s">
        <v>1337</v>
      </c>
      <c r="B84" s="15" t="s">
        <v>1336</v>
      </c>
      <c r="C84" s="1">
        <v>38924846</v>
      </c>
      <c r="D84" s="1">
        <v>0</v>
      </c>
      <c r="E84" s="1">
        <v>0</v>
      </c>
      <c r="F84" s="1">
        <v>1</v>
      </c>
      <c r="G84" s="12">
        <v>1</v>
      </c>
      <c r="I84" s="3">
        <v>43460</v>
      </c>
      <c r="J84" s="3">
        <v>43439</v>
      </c>
      <c r="K84" s="3">
        <v>23579</v>
      </c>
      <c r="L84" s="5">
        <f>(DAYS360(K84,I84))/365</f>
        <v>53.684931506849317</v>
      </c>
      <c r="M84" s="1" t="s">
        <v>5</v>
      </c>
      <c r="N84" s="1">
        <v>1</v>
      </c>
      <c r="O84" s="1">
        <v>0</v>
      </c>
      <c r="P84" s="1" t="s">
        <v>69</v>
      </c>
      <c r="Q84" s="1">
        <v>1</v>
      </c>
      <c r="R84" s="1" t="s">
        <v>209</v>
      </c>
      <c r="S84" s="1">
        <v>25</v>
      </c>
      <c r="T84" s="1" t="s">
        <v>140</v>
      </c>
      <c r="U84" s="1">
        <v>1</v>
      </c>
      <c r="V84" s="1">
        <v>0</v>
      </c>
      <c r="W84" s="1">
        <v>0</v>
      </c>
      <c r="X84" s="1" t="s">
        <v>296</v>
      </c>
      <c r="Y84" s="1">
        <v>2</v>
      </c>
      <c r="Z84" s="1">
        <v>1</v>
      </c>
      <c r="AA84" s="1" t="s">
        <v>65</v>
      </c>
      <c r="AC84" s="1">
        <v>2</v>
      </c>
      <c r="AD84" s="1" t="s">
        <v>789</v>
      </c>
      <c r="AE84" s="1" t="s">
        <v>114</v>
      </c>
      <c r="AF84" s="1">
        <v>0</v>
      </c>
      <c r="AG84" s="1">
        <v>0</v>
      </c>
      <c r="AH84" s="1">
        <v>0</v>
      </c>
      <c r="AI84" s="3">
        <v>43460</v>
      </c>
      <c r="AJ84" s="3">
        <v>43495</v>
      </c>
      <c r="AK84" s="6" t="s">
        <v>1328</v>
      </c>
      <c r="AL84" s="6" t="s">
        <v>123</v>
      </c>
      <c r="AM84" s="1">
        <v>0</v>
      </c>
      <c r="AN84" s="1">
        <v>0</v>
      </c>
      <c r="AO84" s="1">
        <v>0</v>
      </c>
      <c r="AP84" s="1">
        <v>0</v>
      </c>
      <c r="AQ84" s="1">
        <v>0</v>
      </c>
      <c r="AR84" s="1">
        <v>0</v>
      </c>
      <c r="AS84" s="12">
        <f>IF(AND(AM84=0,AU84&lt;=2), 1, 0)</f>
        <v>1</v>
      </c>
      <c r="AT84" s="12">
        <v>1</v>
      </c>
      <c r="AU84" s="1">
        <v>2</v>
      </c>
      <c r="AV84" s="1">
        <v>0.5</v>
      </c>
      <c r="AW84" s="1">
        <v>0.5</v>
      </c>
      <c r="AX84" s="6" t="s">
        <v>45</v>
      </c>
      <c r="AY84" s="6" t="s">
        <v>45</v>
      </c>
      <c r="AZ84" s="6" t="s">
        <v>46</v>
      </c>
      <c r="BA84" s="1">
        <f>4.8-1.2+0.3</f>
        <v>3.8999999999999995</v>
      </c>
      <c r="BB84" s="1">
        <v>146</v>
      </c>
      <c r="BC84" s="1">
        <v>2</v>
      </c>
      <c r="BD84" s="1">
        <v>2</v>
      </c>
      <c r="BE84" s="1">
        <v>315.89999999999998</v>
      </c>
      <c r="BF84" s="1" t="s">
        <v>1335</v>
      </c>
      <c r="BG84" s="1">
        <v>45</v>
      </c>
      <c r="BH84" s="1">
        <v>45</v>
      </c>
      <c r="BI84" s="1">
        <v>0</v>
      </c>
      <c r="BJ84" s="1">
        <v>0</v>
      </c>
      <c r="BK84" s="1">
        <f>BH84+BI84</f>
        <v>45</v>
      </c>
      <c r="BL84" s="1">
        <v>25</v>
      </c>
      <c r="BM84" s="1">
        <v>1.8</v>
      </c>
      <c r="BN84" s="1" t="s">
        <v>62</v>
      </c>
      <c r="BO84" s="1">
        <v>1</v>
      </c>
      <c r="BP84" s="1">
        <v>1</v>
      </c>
      <c r="BQ84" s="1">
        <v>1</v>
      </c>
      <c r="BR84" s="3">
        <v>43460</v>
      </c>
      <c r="BS84" s="1" t="s">
        <v>109</v>
      </c>
      <c r="BT84" s="12" t="s">
        <v>90</v>
      </c>
      <c r="BU84" s="1">
        <v>2</v>
      </c>
      <c r="BV84" s="1">
        <v>1</v>
      </c>
      <c r="BW84" s="1">
        <v>9</v>
      </c>
      <c r="BX84" s="1">
        <v>0.67800000000000005</v>
      </c>
      <c r="BY84" s="1">
        <v>0.22800000000000001</v>
      </c>
      <c r="BZ84" s="1">
        <v>14.3</v>
      </c>
      <c r="CA84" s="1">
        <v>233</v>
      </c>
      <c r="CB84" s="1">
        <v>1.85</v>
      </c>
      <c r="CC84" s="1">
        <v>12.9</v>
      </c>
      <c r="CD84" s="1">
        <v>3.2</v>
      </c>
      <c r="CE84" s="1">
        <v>1</v>
      </c>
      <c r="CF84" s="3">
        <v>43531</v>
      </c>
      <c r="CG84" s="7">
        <f>CF84-AJ84</f>
        <v>36</v>
      </c>
      <c r="CH84" s="1" t="s">
        <v>1334</v>
      </c>
      <c r="CI84" s="12" t="s">
        <v>183</v>
      </c>
      <c r="CJ84" s="17" t="s">
        <v>182</v>
      </c>
      <c r="CK84" s="1" t="s">
        <v>1131</v>
      </c>
      <c r="CL84" s="1" t="s">
        <v>1130</v>
      </c>
      <c r="CM84" s="1">
        <v>0</v>
      </c>
      <c r="CN84" s="12" t="str">
        <f>MID(CK84,4,1)</f>
        <v>1</v>
      </c>
      <c r="CO84" s="1" t="s">
        <v>744</v>
      </c>
      <c r="CP84" s="1">
        <v>2</v>
      </c>
      <c r="CQ84" s="1" t="s">
        <v>1333</v>
      </c>
      <c r="CR84" s="1">
        <v>0.8</v>
      </c>
      <c r="CS84" s="1" t="s">
        <v>1209</v>
      </c>
      <c r="CT84" s="1" t="s">
        <v>473</v>
      </c>
      <c r="CU84" s="1" t="s">
        <v>454</v>
      </c>
      <c r="CV84" s="1">
        <v>0</v>
      </c>
      <c r="CW84" s="1">
        <v>11</v>
      </c>
      <c r="CX84" s="1">
        <v>5.6</v>
      </c>
      <c r="CY84" s="1">
        <v>0.5</v>
      </c>
      <c r="CZ84" s="1">
        <v>0</v>
      </c>
      <c r="DA84" s="1">
        <v>52</v>
      </c>
      <c r="DB84" s="2">
        <f>CZ84/DA84*100</f>
        <v>0</v>
      </c>
      <c r="DC84" s="1">
        <v>0</v>
      </c>
      <c r="DD84" s="1">
        <v>0</v>
      </c>
      <c r="DE84" s="1">
        <v>0</v>
      </c>
      <c r="DF84" s="1">
        <v>1</v>
      </c>
      <c r="DG84" s="26" t="s">
        <v>1332</v>
      </c>
      <c r="DH84" s="7">
        <v>0</v>
      </c>
      <c r="DI84" s="7">
        <v>0</v>
      </c>
      <c r="DJ84" s="3">
        <v>44832</v>
      </c>
      <c r="DK84" s="1" t="s">
        <v>75</v>
      </c>
      <c r="DL84" s="12">
        <f>(DJ84-I84)/365.25*12</f>
        <v>45.075975359342912</v>
      </c>
      <c r="DM84" s="1">
        <v>0</v>
      </c>
      <c r="DN84" s="1" t="s">
        <v>45</v>
      </c>
      <c r="DO84" s="1" t="s">
        <v>45</v>
      </c>
      <c r="DP84" s="6" t="s">
        <v>45</v>
      </c>
      <c r="DQ84" s="7">
        <v>0</v>
      </c>
      <c r="DR84" s="3" t="s">
        <v>45</v>
      </c>
      <c r="DS84" s="10">
        <f>IF(DQ84=1, (DR84-$I84)/365.25*12, IF(DQ84=0, $DL84, "ERROR"))</f>
        <v>45.075975359342912</v>
      </c>
      <c r="DT84" s="7">
        <v>0</v>
      </c>
      <c r="DU84" s="7">
        <v>0</v>
      </c>
      <c r="DV84" s="7">
        <v>0</v>
      </c>
      <c r="DW84" s="16">
        <f>DU84*(1-DV84)</f>
        <v>0</v>
      </c>
      <c r="DX84" s="16">
        <f>(1-DU84)*DV84</f>
        <v>0</v>
      </c>
      <c r="DY84" s="16">
        <f>DU84*DV84</f>
        <v>0</v>
      </c>
      <c r="DZ84" s="3" t="s">
        <v>45</v>
      </c>
      <c r="EA84" s="10">
        <f>IF(DT84=1, (DZ84-$I84)/365.25*12, IF(DT84=0, $DL84, "ERROR"))</f>
        <v>45.075975359342912</v>
      </c>
      <c r="EB84" s="7">
        <v>0</v>
      </c>
      <c r="EC84" s="7">
        <v>0</v>
      </c>
      <c r="ED84" s="16">
        <f>1-((1-DQ84)*(1-DT84))</f>
        <v>0</v>
      </c>
      <c r="EE84" s="11" t="s">
        <v>45</v>
      </c>
      <c r="EF84" s="1" t="s">
        <v>45</v>
      </c>
      <c r="EG84" s="7" t="s">
        <v>45</v>
      </c>
      <c r="EH84" s="1" t="s">
        <v>45</v>
      </c>
      <c r="EI84" s="1">
        <v>0</v>
      </c>
      <c r="EJ84" s="16">
        <f>(1-DQ84)*DX84*(1-EI84)</f>
        <v>0</v>
      </c>
      <c r="EK84" s="1" t="s">
        <v>45</v>
      </c>
      <c r="EL84" s="10">
        <f>IF(EI84=1, (EK84-$I84)/365.25*12, IF(EI84=0, $DL84, "ERROR"))</f>
        <v>45.075975359342912</v>
      </c>
      <c r="EM84" s="1" t="s">
        <v>45</v>
      </c>
      <c r="EN84" s="1">
        <v>0</v>
      </c>
      <c r="EO84" s="1">
        <v>0</v>
      </c>
      <c r="EP84" s="1">
        <v>0</v>
      </c>
      <c r="EQ84" s="1">
        <v>0</v>
      </c>
      <c r="ER84" s="1">
        <v>0</v>
      </c>
      <c r="ES84" s="1">
        <v>0</v>
      </c>
      <c r="ET84" s="1">
        <v>0</v>
      </c>
      <c r="EU84" s="1">
        <v>0</v>
      </c>
      <c r="EV84" s="1">
        <v>0</v>
      </c>
      <c r="EW84" s="1">
        <f>1-((1-EP84)*(1-ET84)*(1-EU84)*(1-EV84))</f>
        <v>0</v>
      </c>
      <c r="EX84" s="7">
        <v>0</v>
      </c>
      <c r="EY84" s="7">
        <v>0</v>
      </c>
      <c r="EZ84" s="7">
        <v>0</v>
      </c>
      <c r="FA84" s="7">
        <v>0</v>
      </c>
      <c r="FB84" s="1" t="s">
        <v>45</v>
      </c>
      <c r="FC84" s="1">
        <v>0</v>
      </c>
      <c r="FD84" s="1">
        <v>1</v>
      </c>
      <c r="FF84" s="1" t="s">
        <v>45</v>
      </c>
      <c r="FG84" s="3">
        <f>IF(FC84=1, FF84, IF(FD84=1, 44348, DJ84))</f>
        <v>44348</v>
      </c>
      <c r="FH84" s="13">
        <f>(FG84-I84)/365.25*12</f>
        <v>29.17453798767967</v>
      </c>
      <c r="FI84" s="20">
        <f>IF(DM84=1, (DO84-I84)/365.25*12, IF(DM84=0, DL84, "ERROR"))</f>
        <v>45.075975359342912</v>
      </c>
      <c r="FJ84" s="14">
        <f>IF(OR(DM84,FC84), 1, 0)</f>
        <v>0</v>
      </c>
      <c r="FK84" s="11">
        <f>IF(DM84=1,IF(FC84=1,MIN(DO84,FF84),DO84),IF(FC84=1,FF84,DJ84))</f>
        <v>44832</v>
      </c>
      <c r="FL84" s="13">
        <f>(FK84-$I84)/365.25*12</f>
        <v>45.075975359342912</v>
      </c>
      <c r="FM84" s="14">
        <f>IF(OR(ED84,FC84), 1, 0)</f>
        <v>0</v>
      </c>
      <c r="FN84" s="11">
        <f>IF(ED84=1,IF(FC84=1,MIN(EE84,FF84),EE84),IF(FC84=1,FF84,DJ84))</f>
        <v>44832</v>
      </c>
      <c r="FO84" s="13">
        <f>(FN84-$I84)/365.25*12</f>
        <v>45.075975359342912</v>
      </c>
      <c r="FP84" s="14">
        <f>IF(OR(EI84,FC84), 1, 0)</f>
        <v>0</v>
      </c>
      <c r="FQ84" s="11">
        <f>IF(EI84=1,IF(FC84=1,MIN(EK84,FF84),EK84),IF(FC84=1,FF84,DJ84))</f>
        <v>44832</v>
      </c>
      <c r="FR84" s="13">
        <f>(FQ84-$I84)/365.25*12</f>
        <v>45.075975359342912</v>
      </c>
      <c r="FU84" s="1">
        <v>0</v>
      </c>
      <c r="FV84" s="1">
        <v>0</v>
      </c>
      <c r="FW84" s="1">
        <v>0</v>
      </c>
      <c r="FX84" s="1">
        <v>0</v>
      </c>
      <c r="GA84" s="1">
        <v>0.5</v>
      </c>
      <c r="GB84" s="1">
        <v>0.5</v>
      </c>
      <c r="GC84" s="1">
        <v>113.4121</v>
      </c>
      <c r="GD84" s="1">
        <v>22.962800000000001</v>
      </c>
      <c r="GE84" s="25">
        <v>0</v>
      </c>
      <c r="GF84" s="25">
        <v>0</v>
      </c>
      <c r="GG84" s="1">
        <v>1125.0422000000001</v>
      </c>
      <c r="GH84" s="24">
        <v>74.157499999999999</v>
      </c>
    </row>
    <row r="85" spans="1:190" ht="12.75" customHeight="1">
      <c r="A85" s="1" t="s">
        <v>800</v>
      </c>
      <c r="B85" s="1" t="s">
        <v>799</v>
      </c>
      <c r="C85" s="1">
        <v>39325163</v>
      </c>
      <c r="D85" s="1">
        <v>1</v>
      </c>
      <c r="E85" s="1">
        <v>0</v>
      </c>
      <c r="F85" s="1">
        <v>1</v>
      </c>
      <c r="G85" s="1">
        <v>1</v>
      </c>
      <c r="I85" s="3">
        <v>44365</v>
      </c>
      <c r="J85" s="3">
        <v>44350</v>
      </c>
      <c r="K85" s="3">
        <v>17484</v>
      </c>
      <c r="L85" s="5">
        <f>(DAYS360(K85,I85))/365</f>
        <v>72.589041095890408</v>
      </c>
      <c r="M85" s="1" t="s">
        <v>5</v>
      </c>
      <c r="N85" s="1">
        <v>1</v>
      </c>
      <c r="O85" s="1">
        <v>0</v>
      </c>
      <c r="P85" s="1" t="s">
        <v>69</v>
      </c>
      <c r="Q85" s="1">
        <v>1</v>
      </c>
      <c r="R85" s="1" t="s">
        <v>18</v>
      </c>
      <c r="S85" s="1" t="s">
        <v>798</v>
      </c>
      <c r="T85" s="1" t="s">
        <v>98</v>
      </c>
      <c r="U85" s="1">
        <v>1</v>
      </c>
      <c r="V85" s="1">
        <v>1</v>
      </c>
      <c r="W85" s="1">
        <v>0</v>
      </c>
      <c r="X85" s="1" t="s">
        <v>395</v>
      </c>
      <c r="Y85" s="1">
        <v>3</v>
      </c>
      <c r="Z85" s="1">
        <v>1</v>
      </c>
      <c r="AA85" s="1" t="s">
        <v>116</v>
      </c>
      <c r="AC85" s="1">
        <v>3</v>
      </c>
      <c r="AD85" s="1" t="s">
        <v>797</v>
      </c>
      <c r="AE85" s="1" t="s">
        <v>114</v>
      </c>
      <c r="AF85" s="1">
        <v>0</v>
      </c>
      <c r="AG85" s="1">
        <v>0</v>
      </c>
      <c r="AH85" s="1">
        <v>0</v>
      </c>
      <c r="AI85" s="3">
        <v>44365</v>
      </c>
      <c r="AJ85" s="3">
        <v>44396</v>
      </c>
      <c r="BA85" s="1">
        <v>8.5</v>
      </c>
      <c r="BG85" s="1">
        <v>44</v>
      </c>
      <c r="BH85" s="1">
        <v>22</v>
      </c>
      <c r="BI85" s="1">
        <v>0</v>
      </c>
      <c r="BJ85" s="1">
        <v>0</v>
      </c>
      <c r="BK85" s="1">
        <v>44</v>
      </c>
      <c r="BL85" s="1">
        <v>22</v>
      </c>
      <c r="BM85" s="1">
        <v>2</v>
      </c>
      <c r="BN85" s="1" t="s">
        <v>62</v>
      </c>
      <c r="BO85" s="1">
        <v>1</v>
      </c>
      <c r="BP85" s="1">
        <v>1</v>
      </c>
      <c r="BQ85" s="1">
        <v>1</v>
      </c>
      <c r="BR85" s="3">
        <v>44365</v>
      </c>
      <c r="BS85" s="1" t="s">
        <v>61</v>
      </c>
      <c r="BT85" s="12" t="s">
        <v>60</v>
      </c>
      <c r="BU85" s="1">
        <v>5</v>
      </c>
      <c r="BV85" s="1">
        <v>1</v>
      </c>
      <c r="CE85" s="1">
        <v>1</v>
      </c>
      <c r="CF85" s="3">
        <v>44432</v>
      </c>
      <c r="CG85" s="7">
        <f>CF85-AJ85</f>
        <v>36</v>
      </c>
      <c r="CH85" s="1" t="s">
        <v>796</v>
      </c>
      <c r="CI85" s="1" t="s">
        <v>183</v>
      </c>
      <c r="CJ85" s="1" t="s">
        <v>182</v>
      </c>
      <c r="CK85" s="1" t="s">
        <v>702</v>
      </c>
      <c r="CM85" s="1">
        <v>0</v>
      </c>
      <c r="CN85" s="12" t="str">
        <f>MID(CK85,4,1)</f>
        <v>2</v>
      </c>
      <c r="CO85" s="1" t="s">
        <v>752</v>
      </c>
      <c r="CP85" s="1">
        <v>1</v>
      </c>
      <c r="CQ85" s="1" t="s">
        <v>795</v>
      </c>
      <c r="CR85" s="1">
        <v>0.4</v>
      </c>
      <c r="CS85" s="1" t="s">
        <v>742</v>
      </c>
      <c r="CT85" s="1" t="s">
        <v>511</v>
      </c>
      <c r="CU85" s="1" t="s">
        <v>794</v>
      </c>
      <c r="CV85" s="1">
        <v>0</v>
      </c>
      <c r="CW85" s="1">
        <v>3.9</v>
      </c>
      <c r="CX85" s="1">
        <v>12.2</v>
      </c>
      <c r="CY85" s="1">
        <v>0.16</v>
      </c>
      <c r="CZ85" s="1">
        <v>0</v>
      </c>
      <c r="DA85" s="1">
        <v>70</v>
      </c>
      <c r="DB85" s="2">
        <f>CZ85/DA85*100</f>
        <v>0</v>
      </c>
      <c r="DC85" s="1">
        <v>0</v>
      </c>
      <c r="DD85" s="1">
        <v>0</v>
      </c>
      <c r="DE85" s="1">
        <v>0</v>
      </c>
      <c r="DF85" s="1">
        <v>0</v>
      </c>
      <c r="DG85" s="26" t="s">
        <v>793</v>
      </c>
      <c r="DH85" s="7">
        <v>0</v>
      </c>
      <c r="DI85" s="7">
        <v>0</v>
      </c>
      <c r="DJ85" s="3">
        <v>44895</v>
      </c>
      <c r="DK85" s="1" t="s">
        <v>75</v>
      </c>
      <c r="DL85" s="1">
        <f>(DJ85-I85)/365.25*12</f>
        <v>17.412731006160165</v>
      </c>
      <c r="DM85" s="1">
        <v>0</v>
      </c>
      <c r="DQ85" s="7">
        <v>0</v>
      </c>
      <c r="DT85" s="7">
        <v>0</v>
      </c>
      <c r="DU85" s="7">
        <v>0</v>
      </c>
      <c r="DV85" s="7">
        <v>0</v>
      </c>
      <c r="DW85" s="7">
        <f>DU85*(1-DV85)</f>
        <v>0</v>
      </c>
      <c r="DX85" s="7">
        <f>(1-DU85)*DV85</f>
        <v>0</v>
      </c>
      <c r="DY85" s="7">
        <f>DU85*DV85</f>
        <v>0</v>
      </c>
      <c r="EB85" s="7">
        <v>0</v>
      </c>
      <c r="EC85" s="7">
        <v>0</v>
      </c>
      <c r="ED85" s="7">
        <f>1-((1-DQ85)*(1-DT85))</f>
        <v>0</v>
      </c>
      <c r="EI85" s="1">
        <v>0</v>
      </c>
      <c r="EJ85" s="7">
        <f>(1-DQ85)*DX85*(1-EI85)</f>
        <v>0</v>
      </c>
      <c r="FC85" s="6" t="s">
        <v>50</v>
      </c>
      <c r="FD85" s="1">
        <v>0</v>
      </c>
      <c r="FF85" s="1" t="s">
        <v>45</v>
      </c>
      <c r="FI85" s="20">
        <f>IF(DM85=1, (DO85-I85)/365.25*12, IF(DM85=0, DL85, "ERROR"))</f>
        <v>17.412731006160165</v>
      </c>
      <c r="GA85" s="1">
        <v>0.5</v>
      </c>
      <c r="GB85" s="1">
        <v>0.5</v>
      </c>
      <c r="GC85" s="1">
        <v>163.58690000000001</v>
      </c>
      <c r="GD85" s="1">
        <v>247.1499</v>
      </c>
      <c r="GE85" s="25">
        <v>20</v>
      </c>
      <c r="GF85" s="25">
        <v>20</v>
      </c>
      <c r="GG85" s="1">
        <v>1092.6303</v>
      </c>
      <c r="GH85" s="24">
        <v>574.28579999999999</v>
      </c>
    </row>
    <row r="86" spans="1:190" ht="12.75" customHeight="1">
      <c r="A86" s="1" t="s">
        <v>1714</v>
      </c>
      <c r="B86" s="12" t="s">
        <v>1713</v>
      </c>
      <c r="C86" s="12">
        <v>39665063</v>
      </c>
      <c r="D86" s="12">
        <v>0</v>
      </c>
      <c r="E86" s="12">
        <v>0</v>
      </c>
      <c r="F86" s="12">
        <v>1</v>
      </c>
      <c r="G86" s="12">
        <v>1</v>
      </c>
      <c r="H86" s="21"/>
      <c r="I86" s="11">
        <v>40154</v>
      </c>
      <c r="J86" s="11">
        <v>40126</v>
      </c>
      <c r="K86" s="11">
        <v>15634</v>
      </c>
      <c r="L86" s="20">
        <f>(DAYS360(K86,I86))/365</f>
        <v>66.210958904109589</v>
      </c>
      <c r="M86" s="12" t="s">
        <v>370</v>
      </c>
      <c r="N86" s="12">
        <v>1</v>
      </c>
      <c r="O86" s="12">
        <v>0</v>
      </c>
      <c r="P86" s="12" t="s">
        <v>423</v>
      </c>
      <c r="Q86" s="12">
        <v>1</v>
      </c>
      <c r="R86" s="12" t="s">
        <v>466</v>
      </c>
      <c r="S86" s="12" t="s">
        <v>1712</v>
      </c>
      <c r="T86" s="12" t="s">
        <v>432</v>
      </c>
      <c r="U86" s="12">
        <v>0</v>
      </c>
      <c r="V86" s="12">
        <v>1</v>
      </c>
      <c r="W86" s="12">
        <v>1</v>
      </c>
      <c r="X86" s="12" t="s">
        <v>1711</v>
      </c>
      <c r="Y86" s="12">
        <v>4</v>
      </c>
      <c r="Z86" s="12">
        <v>1</v>
      </c>
      <c r="AA86" s="12" t="s">
        <v>366</v>
      </c>
      <c r="AB86" s="12" t="s">
        <v>541</v>
      </c>
      <c r="AC86" s="12">
        <v>3</v>
      </c>
      <c r="AD86" s="12" t="s">
        <v>1710</v>
      </c>
      <c r="AE86" s="12" t="s">
        <v>465</v>
      </c>
      <c r="AF86" s="12">
        <v>0</v>
      </c>
      <c r="AG86" s="12">
        <v>0</v>
      </c>
      <c r="AH86" s="12">
        <v>0</v>
      </c>
      <c r="AI86" s="11">
        <v>40154</v>
      </c>
      <c r="AJ86" s="11">
        <v>40193</v>
      </c>
      <c r="AK86" s="19" t="s">
        <v>1709</v>
      </c>
      <c r="AL86" s="19" t="s">
        <v>517</v>
      </c>
      <c r="AM86" s="12">
        <v>0</v>
      </c>
      <c r="AN86" s="12">
        <v>0</v>
      </c>
      <c r="AO86" s="12">
        <v>0</v>
      </c>
      <c r="AP86" s="12">
        <v>0</v>
      </c>
      <c r="AQ86" s="12">
        <v>0</v>
      </c>
      <c r="AR86" s="12">
        <v>0</v>
      </c>
      <c r="AS86" s="12">
        <v>0</v>
      </c>
      <c r="AT86" s="12">
        <v>0</v>
      </c>
      <c r="AU86" s="12">
        <v>2</v>
      </c>
      <c r="AV86" s="12">
        <v>1</v>
      </c>
      <c r="AW86" s="12">
        <v>1</v>
      </c>
      <c r="AX86" s="12">
        <v>1</v>
      </c>
      <c r="AY86" s="12">
        <v>0.5</v>
      </c>
      <c r="AZ86" s="12">
        <v>0.5</v>
      </c>
      <c r="BA86" s="12">
        <f>1.5+4+0.5</f>
        <v>6</v>
      </c>
      <c r="BB86" s="12">
        <v>190</v>
      </c>
      <c r="BC86" s="12">
        <f>6.5-2+0.5</f>
        <v>5</v>
      </c>
      <c r="BD86" s="12">
        <f>6-4.5+0.5</f>
        <v>2</v>
      </c>
      <c r="BE86" s="12">
        <v>326</v>
      </c>
      <c r="BF86" s="12" t="s">
        <v>1708</v>
      </c>
      <c r="BG86" s="12" t="s">
        <v>360</v>
      </c>
      <c r="BH86" s="12">
        <v>45</v>
      </c>
      <c r="BI86" s="12">
        <v>5.4</v>
      </c>
      <c r="BJ86" s="12">
        <v>1</v>
      </c>
      <c r="BK86" s="12">
        <f>BH86+BI86</f>
        <v>50.4</v>
      </c>
      <c r="BL86" s="12">
        <v>28</v>
      </c>
      <c r="BM86" s="12">
        <v>1.8</v>
      </c>
      <c r="BN86" s="12" t="s">
        <v>359</v>
      </c>
      <c r="BO86" s="12">
        <v>0</v>
      </c>
      <c r="BP86" s="12">
        <v>1</v>
      </c>
      <c r="BQ86" s="12">
        <v>1</v>
      </c>
      <c r="BR86" s="11">
        <v>40154</v>
      </c>
      <c r="BS86" s="12" t="s">
        <v>78</v>
      </c>
      <c r="BT86" s="12" t="s">
        <v>77</v>
      </c>
      <c r="BU86" s="12">
        <v>6</v>
      </c>
      <c r="BV86" s="12">
        <v>1</v>
      </c>
      <c r="BW86" s="12">
        <v>6.6</v>
      </c>
      <c r="BX86" s="12">
        <v>0.47699999999999998</v>
      </c>
      <c r="BY86" s="12">
        <v>0.372</v>
      </c>
      <c r="BZ86" s="12">
        <v>11.6</v>
      </c>
      <c r="CA86" s="12">
        <v>250</v>
      </c>
      <c r="CB86" s="12">
        <v>1.42</v>
      </c>
      <c r="CC86" s="12"/>
      <c r="CD86" s="12">
        <v>5.3</v>
      </c>
      <c r="CE86" s="12">
        <v>1</v>
      </c>
      <c r="CF86" s="11">
        <v>40232</v>
      </c>
      <c r="CG86" s="7">
        <f>CF86-AJ86</f>
        <v>39</v>
      </c>
      <c r="CH86" s="17" t="s">
        <v>461</v>
      </c>
      <c r="CI86" s="17" t="s">
        <v>460</v>
      </c>
      <c r="CJ86" s="17" t="s">
        <v>182</v>
      </c>
      <c r="CK86" s="12" t="s">
        <v>1601</v>
      </c>
      <c r="CL86" s="12" t="s">
        <v>1584</v>
      </c>
      <c r="CM86" s="12">
        <v>0</v>
      </c>
      <c r="CN86" s="12" t="str">
        <f>MID(CK86,4,1)</f>
        <v>2</v>
      </c>
      <c r="CO86" s="12" t="s">
        <v>357</v>
      </c>
      <c r="CP86" s="12" t="s">
        <v>45</v>
      </c>
      <c r="CQ86" s="17" t="s">
        <v>1707</v>
      </c>
      <c r="CR86" s="17">
        <v>0.2</v>
      </c>
      <c r="CS86" s="12" t="s">
        <v>1581</v>
      </c>
      <c r="CT86" s="12" t="s">
        <v>511</v>
      </c>
      <c r="CU86" s="12" t="s">
        <v>454</v>
      </c>
      <c r="CV86" s="17">
        <v>1</v>
      </c>
      <c r="CW86" s="12" t="s">
        <v>1706</v>
      </c>
      <c r="CX86" s="12">
        <v>7.5</v>
      </c>
      <c r="CY86" s="12">
        <v>0.8</v>
      </c>
      <c r="CZ86" s="12">
        <v>0</v>
      </c>
      <c r="DA86" s="12">
        <v>99</v>
      </c>
      <c r="DB86" s="13">
        <f>CZ86/DA86*100</f>
        <v>0</v>
      </c>
      <c r="DC86" s="12">
        <v>0</v>
      </c>
      <c r="DD86" s="12">
        <v>0</v>
      </c>
      <c r="DE86" s="12">
        <v>0</v>
      </c>
      <c r="DF86" s="12">
        <v>1</v>
      </c>
      <c r="DG86" s="12" t="s">
        <v>1705</v>
      </c>
      <c r="DH86" s="16">
        <v>0</v>
      </c>
      <c r="DI86" s="16">
        <v>0</v>
      </c>
      <c r="DJ86" s="11">
        <v>41999</v>
      </c>
      <c r="DK86" s="11"/>
      <c r="DL86" s="12">
        <f>(DJ86-I86)/365.25*12</f>
        <v>60.616016427104718</v>
      </c>
      <c r="DM86" s="12">
        <v>0</v>
      </c>
      <c r="DN86" s="12" t="s">
        <v>357</v>
      </c>
      <c r="DO86" s="12" t="s">
        <v>357</v>
      </c>
      <c r="DP86" s="19" t="s">
        <v>357</v>
      </c>
      <c r="DQ86" s="16">
        <v>0</v>
      </c>
      <c r="DR86" s="11" t="s">
        <v>45</v>
      </c>
      <c r="DS86" s="10">
        <f>IF(DQ86=1, (DR86-$I86)/365.25*12, IF(DQ86=0, $DL86, "ERROR"))</f>
        <v>60.616016427104718</v>
      </c>
      <c r="DT86" s="16">
        <v>0</v>
      </c>
      <c r="DU86" s="16">
        <v>0</v>
      </c>
      <c r="DV86" s="16">
        <v>0</v>
      </c>
      <c r="DW86" s="16">
        <f>DU86*(1-DV86)</f>
        <v>0</v>
      </c>
      <c r="DX86" s="16">
        <f>(1-DU86)*DV86</f>
        <v>0</v>
      </c>
      <c r="DY86" s="16">
        <f>DU86*DV86</f>
        <v>0</v>
      </c>
      <c r="DZ86" s="11" t="s">
        <v>45</v>
      </c>
      <c r="EA86" s="10">
        <f>IF(DT86=1, (DZ86-$I86)/365.25*12, IF(DT86=0, $DL86, "ERROR"))</f>
        <v>60.616016427104718</v>
      </c>
      <c r="EB86" s="16">
        <v>0</v>
      </c>
      <c r="EC86" s="16">
        <v>0</v>
      </c>
      <c r="ED86" s="16">
        <f>1-((1-DQ86)*(1-DT86))</f>
        <v>0</v>
      </c>
      <c r="EE86" s="11" t="s">
        <v>45</v>
      </c>
      <c r="EF86" s="12" t="s">
        <v>357</v>
      </c>
      <c r="EG86" s="16" t="s">
        <v>357</v>
      </c>
      <c r="EH86" s="12" t="s">
        <v>357</v>
      </c>
      <c r="EI86" s="12">
        <v>0</v>
      </c>
      <c r="EJ86" s="16">
        <f>(1-DQ86)*DX86*(1-EI86)</f>
        <v>0</v>
      </c>
      <c r="EK86" s="12" t="s">
        <v>45</v>
      </c>
      <c r="EL86" s="10">
        <f>IF(EI86=1, (EK86-$I86)/365.25*12, IF(EI86=0, $DL86, "ERROR"))</f>
        <v>60.616016427104718</v>
      </c>
      <c r="EM86" s="12" t="s">
        <v>45</v>
      </c>
      <c r="EN86" s="1">
        <v>0</v>
      </c>
      <c r="EO86" s="1">
        <v>0</v>
      </c>
      <c r="EP86" s="1">
        <v>0</v>
      </c>
      <c r="EQ86" s="1">
        <v>0</v>
      </c>
      <c r="ER86" s="1">
        <v>0</v>
      </c>
      <c r="ES86" s="1">
        <v>0</v>
      </c>
      <c r="ET86" s="1">
        <v>0</v>
      </c>
      <c r="EU86" s="1">
        <v>0</v>
      </c>
      <c r="EV86" s="1">
        <v>0</v>
      </c>
      <c r="EW86" s="1">
        <f>1-((1-EP86)*(1-ET86)*(1-EU86)*(1-EV86))</f>
        <v>0</v>
      </c>
      <c r="EX86" s="16">
        <v>0</v>
      </c>
      <c r="EY86" s="7">
        <v>0</v>
      </c>
      <c r="EZ86" s="7">
        <v>0</v>
      </c>
      <c r="FA86" s="7">
        <v>0</v>
      </c>
      <c r="FB86" s="12" t="s">
        <v>45</v>
      </c>
      <c r="FC86" s="12">
        <v>1</v>
      </c>
      <c r="FD86" s="12">
        <v>1</v>
      </c>
      <c r="FE86" s="12"/>
      <c r="FF86" s="18">
        <v>42064</v>
      </c>
      <c r="FG86" s="3">
        <f>IF(FC86=1, FF86, IF(FD86=1, 44348, DJ86))</f>
        <v>42064</v>
      </c>
      <c r="FH86" s="13">
        <f>(FG86-I86)/365.25*12</f>
        <v>62.751540041067763</v>
      </c>
      <c r="FI86" s="20">
        <f>IF(DM86=1, (DO86-I86)/365.25*12, IF(DM86=0, DL86, "ERROR"))</f>
        <v>60.616016427104718</v>
      </c>
      <c r="FJ86" s="14">
        <f>IF(OR(DM86,FC86), 1, 0)</f>
        <v>1</v>
      </c>
      <c r="FK86" s="11">
        <f>IF(DM86=1,IF(FC86=1,MIN(DO86,FF86),DO86),IF(FC86=1,FF86,DJ86))</f>
        <v>42064</v>
      </c>
      <c r="FL86" s="13">
        <f>(FK86-$I86)/365.25*12</f>
        <v>62.751540041067763</v>
      </c>
      <c r="FM86" s="14">
        <f>IF(OR(ED86,FC86), 1, 0)</f>
        <v>1</v>
      </c>
      <c r="FN86" s="11">
        <f>IF(ED86=1,IF(FC86=1,MIN(EE86,FF86),EE86),IF(FC86=1,FF86,DJ86))</f>
        <v>42064</v>
      </c>
      <c r="FO86" s="13">
        <f>(FN86-$I86)/365.25*12</f>
        <v>62.751540041067763</v>
      </c>
      <c r="FP86" s="14">
        <f>IF(OR(EI86,FC86), 1, 0)</f>
        <v>1</v>
      </c>
      <c r="FQ86" s="11">
        <f>IF(EI86=1,IF(FC86=1,MIN(EK86,FF86),EK86),IF(FC86=1,FF86,DJ86))</f>
        <v>42064</v>
      </c>
      <c r="FR86" s="13">
        <f>(FQ86-$I86)/365.25*12</f>
        <v>62.751540041067763</v>
      </c>
      <c r="FS86" s="12" t="s">
        <v>357</v>
      </c>
      <c r="FT86" s="12" t="s">
        <v>1704</v>
      </c>
      <c r="FU86" s="12">
        <v>0</v>
      </c>
      <c r="FV86" s="12">
        <v>0</v>
      </c>
      <c r="FW86" s="12">
        <v>0</v>
      </c>
      <c r="FX86" s="12">
        <v>0</v>
      </c>
      <c r="FY86" s="12" t="s">
        <v>1703</v>
      </c>
      <c r="FZ86" s="12"/>
      <c r="GA86" s="1">
        <v>0</v>
      </c>
      <c r="GB86" s="1">
        <v>0</v>
      </c>
      <c r="GC86" s="1">
        <v>6006.3114999999998</v>
      </c>
      <c r="GD86" s="1">
        <v>1050.3851</v>
      </c>
      <c r="GE86" s="25">
        <v>0</v>
      </c>
      <c r="GF86" s="25">
        <v>0</v>
      </c>
      <c r="GG86" s="1">
        <v>1277.4505999999999</v>
      </c>
      <c r="GH86" s="24">
        <v>958.88310000000001</v>
      </c>
    </row>
    <row r="87" spans="1:190" ht="12.75" customHeight="1">
      <c r="A87" s="1" t="s">
        <v>1702</v>
      </c>
      <c r="B87" s="12" t="s">
        <v>1701</v>
      </c>
      <c r="C87" s="12">
        <v>39713188</v>
      </c>
      <c r="D87" s="12">
        <v>0</v>
      </c>
      <c r="E87" s="12">
        <v>0</v>
      </c>
      <c r="F87" s="12">
        <v>1</v>
      </c>
      <c r="G87" s="12">
        <v>1</v>
      </c>
      <c r="H87" s="21"/>
      <c r="I87" s="11">
        <v>40170</v>
      </c>
      <c r="J87" s="11">
        <v>40150</v>
      </c>
      <c r="K87" s="11">
        <v>25705</v>
      </c>
      <c r="L87" s="20">
        <f>(DAYS360(K87,I87))/365</f>
        <v>39.057534246575344</v>
      </c>
      <c r="M87" s="12" t="s">
        <v>370</v>
      </c>
      <c r="N87" s="12">
        <v>1</v>
      </c>
      <c r="O87" s="12">
        <v>0</v>
      </c>
      <c r="P87" s="12" t="s">
        <v>357</v>
      </c>
      <c r="Q87" s="12"/>
      <c r="R87" s="12" t="s">
        <v>466</v>
      </c>
      <c r="S87" s="12">
        <v>22</v>
      </c>
      <c r="T87" s="12" t="s">
        <v>408</v>
      </c>
      <c r="U87" s="12">
        <v>1</v>
      </c>
      <c r="V87" s="12">
        <v>0</v>
      </c>
      <c r="W87" s="12">
        <v>0</v>
      </c>
      <c r="X87" s="12" t="s">
        <v>1700</v>
      </c>
      <c r="Y87" s="12">
        <v>2</v>
      </c>
      <c r="Z87" s="12">
        <v>1</v>
      </c>
      <c r="AA87" s="12" t="s">
        <v>382</v>
      </c>
      <c r="AB87" s="12" t="s">
        <v>381</v>
      </c>
      <c r="AC87" s="12">
        <v>2</v>
      </c>
      <c r="AD87" s="12" t="s">
        <v>1699</v>
      </c>
      <c r="AE87" s="12"/>
      <c r="AF87" s="12">
        <v>0</v>
      </c>
      <c r="AG87" s="12">
        <v>0</v>
      </c>
      <c r="AH87" s="12">
        <v>0</v>
      </c>
      <c r="AI87" s="11">
        <v>40170</v>
      </c>
      <c r="AJ87" s="11">
        <v>40212</v>
      </c>
      <c r="AK87" s="19" t="s">
        <v>1698</v>
      </c>
      <c r="AL87" s="19" t="s">
        <v>517</v>
      </c>
      <c r="AM87" s="12">
        <v>1</v>
      </c>
      <c r="AN87" s="12">
        <v>0</v>
      </c>
      <c r="AO87" s="12">
        <v>1</v>
      </c>
      <c r="AP87" s="12">
        <v>0</v>
      </c>
      <c r="AQ87" s="12">
        <v>0</v>
      </c>
      <c r="AR87" s="12">
        <v>0</v>
      </c>
      <c r="AS87" s="12">
        <v>0</v>
      </c>
      <c r="AT87" s="12">
        <v>1</v>
      </c>
      <c r="AU87" s="19" t="s">
        <v>1697</v>
      </c>
      <c r="AV87" s="19" t="s">
        <v>1697</v>
      </c>
      <c r="AW87" s="19" t="s">
        <v>1697</v>
      </c>
      <c r="AX87" s="19" t="s">
        <v>1697</v>
      </c>
      <c r="AY87" s="19" t="s">
        <v>357</v>
      </c>
      <c r="AZ87" s="12">
        <v>0.5</v>
      </c>
      <c r="BA87" s="12">
        <f>3+4.5+0.5</f>
        <v>8</v>
      </c>
      <c r="BB87" s="12">
        <v>137.6</v>
      </c>
      <c r="BC87" s="12">
        <f>5-3.5+0.5</f>
        <v>2</v>
      </c>
      <c r="BD87" s="12">
        <v>2</v>
      </c>
      <c r="BE87" s="12">
        <v>293.8</v>
      </c>
      <c r="BF87" s="12" t="s">
        <v>1696</v>
      </c>
      <c r="BG87" s="12" t="s">
        <v>360</v>
      </c>
      <c r="BH87" s="12">
        <v>45</v>
      </c>
      <c r="BI87" s="12">
        <v>5.4</v>
      </c>
      <c r="BJ87" s="12">
        <v>1</v>
      </c>
      <c r="BK87" s="12">
        <f>BH87+BI87</f>
        <v>50.4</v>
      </c>
      <c r="BL87" s="12">
        <v>28</v>
      </c>
      <c r="BM87" s="12">
        <v>1.8</v>
      </c>
      <c r="BN87" s="12" t="s">
        <v>359</v>
      </c>
      <c r="BO87" s="12">
        <v>0</v>
      </c>
      <c r="BP87" s="12">
        <v>1</v>
      </c>
      <c r="BQ87" s="12">
        <v>1</v>
      </c>
      <c r="BR87" s="11">
        <v>40169</v>
      </c>
      <c r="BS87" s="12" t="s">
        <v>78</v>
      </c>
      <c r="BT87" s="12" t="s">
        <v>77</v>
      </c>
      <c r="BU87" s="12">
        <v>6</v>
      </c>
      <c r="BV87" s="12">
        <v>1</v>
      </c>
      <c r="BW87" s="12">
        <v>7.5</v>
      </c>
      <c r="BX87" s="12">
        <v>0.50800000000000001</v>
      </c>
      <c r="BY87" s="12">
        <v>0.309</v>
      </c>
      <c r="BZ87" s="12">
        <v>15.1</v>
      </c>
      <c r="CA87" s="12">
        <v>244</v>
      </c>
      <c r="CB87" s="12">
        <v>1.7</v>
      </c>
      <c r="CC87" s="12">
        <v>5.3</v>
      </c>
      <c r="CD87" s="12"/>
      <c r="CE87" s="12">
        <v>1</v>
      </c>
      <c r="CF87" s="11">
        <v>40254</v>
      </c>
      <c r="CG87" s="7">
        <f>CF87-AJ87</f>
        <v>42</v>
      </c>
      <c r="CH87" s="17" t="s">
        <v>461</v>
      </c>
      <c r="CI87" s="17" t="s">
        <v>460</v>
      </c>
      <c r="CJ87" s="17" t="s">
        <v>1695</v>
      </c>
      <c r="CK87" s="12" t="s">
        <v>496</v>
      </c>
      <c r="CL87" s="12">
        <v>0</v>
      </c>
      <c r="CM87" s="12">
        <v>0</v>
      </c>
      <c r="CN87" s="28">
        <v>1</v>
      </c>
      <c r="CO87" s="12" t="s">
        <v>357</v>
      </c>
      <c r="CP87" s="12" t="s">
        <v>45</v>
      </c>
      <c r="CQ87" s="17" t="s">
        <v>1694</v>
      </c>
      <c r="CR87" s="17">
        <v>0.5</v>
      </c>
      <c r="CS87" s="12" t="s">
        <v>1693</v>
      </c>
      <c r="CT87" s="12" t="s">
        <v>473</v>
      </c>
      <c r="CU87" s="12" t="s">
        <v>472</v>
      </c>
      <c r="CV87" s="17">
        <v>0</v>
      </c>
      <c r="CW87" s="12">
        <v>6.4</v>
      </c>
      <c r="CX87" s="12">
        <v>10.1</v>
      </c>
      <c r="CY87" s="12">
        <v>0.8</v>
      </c>
      <c r="CZ87" s="12">
        <v>0</v>
      </c>
      <c r="DA87" s="12">
        <v>56</v>
      </c>
      <c r="DB87" s="13">
        <f>CZ87/DA87*100</f>
        <v>0</v>
      </c>
      <c r="DC87" s="12">
        <v>0</v>
      </c>
      <c r="DD87" s="12">
        <v>0</v>
      </c>
      <c r="DE87" s="12">
        <v>0</v>
      </c>
      <c r="DF87" s="12">
        <v>1</v>
      </c>
      <c r="DG87" s="12" t="s">
        <v>1692</v>
      </c>
      <c r="DH87" s="16">
        <v>0</v>
      </c>
      <c r="DI87" s="16">
        <v>0</v>
      </c>
      <c r="DJ87" s="11">
        <v>42653</v>
      </c>
      <c r="DK87" s="11" t="s">
        <v>1691</v>
      </c>
      <c r="DL87" s="12">
        <f>(DJ87-I87)/365.25*12</f>
        <v>81.577002053388085</v>
      </c>
      <c r="DM87" s="12">
        <v>0</v>
      </c>
      <c r="DN87" s="12" t="s">
        <v>357</v>
      </c>
      <c r="DO87" s="12" t="s">
        <v>357</v>
      </c>
      <c r="DP87" s="19" t="s">
        <v>357</v>
      </c>
      <c r="DQ87" s="16">
        <v>0</v>
      </c>
      <c r="DR87" s="11" t="s">
        <v>45</v>
      </c>
      <c r="DS87" s="10">
        <f>IF(DQ87=1, (DR87-$I87)/365.25*12, IF(DQ87=0, $DL87, "ERROR"))</f>
        <v>81.577002053388085</v>
      </c>
      <c r="DT87" s="16">
        <v>0</v>
      </c>
      <c r="DU87" s="16">
        <v>0</v>
      </c>
      <c r="DV87" s="16">
        <v>0</v>
      </c>
      <c r="DW87" s="16">
        <f>DU87*(1-DV87)</f>
        <v>0</v>
      </c>
      <c r="DX87" s="16">
        <f>(1-DU87)*DV87</f>
        <v>0</v>
      </c>
      <c r="DY87" s="16">
        <f>DU87*DV87</f>
        <v>0</v>
      </c>
      <c r="DZ87" s="11" t="s">
        <v>45</v>
      </c>
      <c r="EA87" s="10">
        <f>IF(DT87=1, (DZ87-$I87)/365.25*12, IF(DT87=0, $DL87, "ERROR"))</f>
        <v>81.577002053388085</v>
      </c>
      <c r="EB87" s="16">
        <v>0</v>
      </c>
      <c r="EC87" s="16">
        <v>0</v>
      </c>
      <c r="ED87" s="16">
        <f>1-((1-DQ87)*(1-DT87))</f>
        <v>0</v>
      </c>
      <c r="EE87" s="11" t="s">
        <v>45</v>
      </c>
      <c r="EF87" s="12" t="s">
        <v>357</v>
      </c>
      <c r="EG87" s="16" t="s">
        <v>357</v>
      </c>
      <c r="EH87" s="12" t="s">
        <v>357</v>
      </c>
      <c r="EI87" s="12">
        <v>0</v>
      </c>
      <c r="EJ87" s="16">
        <f>(1-DQ87)*DX87*(1-EI87)</f>
        <v>0</v>
      </c>
      <c r="EK87" s="12" t="s">
        <v>45</v>
      </c>
      <c r="EL87" s="10">
        <f>IF(EI87=1, (EK87-$I87)/365.25*12, IF(EI87=0, $DL87, "ERROR"))</f>
        <v>81.577002053388085</v>
      </c>
      <c r="EM87" s="12" t="s">
        <v>45</v>
      </c>
      <c r="EN87" s="1">
        <v>0</v>
      </c>
      <c r="EO87" s="1">
        <v>0</v>
      </c>
      <c r="EP87" s="1">
        <v>0</v>
      </c>
      <c r="EQ87" s="1">
        <v>0</v>
      </c>
      <c r="ER87" s="1">
        <v>0</v>
      </c>
      <c r="ES87" s="1">
        <v>0</v>
      </c>
      <c r="ET87" s="1">
        <v>0</v>
      </c>
      <c r="EU87" s="1">
        <v>0</v>
      </c>
      <c r="EV87" s="1">
        <v>0</v>
      </c>
      <c r="EW87" s="1">
        <f>1-((1-EP87)*(1-ET87)*(1-EU87)*(1-EV87))</f>
        <v>0</v>
      </c>
      <c r="EX87" s="16">
        <v>0</v>
      </c>
      <c r="EY87" s="7">
        <v>0</v>
      </c>
      <c r="EZ87" s="7">
        <v>0</v>
      </c>
      <c r="FA87" s="7">
        <v>0</v>
      </c>
      <c r="FB87" s="12" t="s">
        <v>45</v>
      </c>
      <c r="FC87" s="12">
        <v>0</v>
      </c>
      <c r="FD87" s="12">
        <v>1</v>
      </c>
      <c r="FE87" s="12"/>
      <c r="FF87" s="30" t="s">
        <v>45</v>
      </c>
      <c r="FG87" s="3">
        <f>IF(FC87=1, FF87, IF(FD87=1, 44348, DJ87))</f>
        <v>44348</v>
      </c>
      <c r="FH87" s="13">
        <f>(FG87-I87)/365.25*12</f>
        <v>137.26488706365504</v>
      </c>
      <c r="FI87" s="20">
        <f>IF(DM87=1, (DO87-I87)/365.25*12, IF(DM87=0, DL87, "ERROR"))</f>
        <v>81.577002053388085</v>
      </c>
      <c r="FJ87" s="14">
        <f>IF(OR(DM87,FC87), 1, 0)</f>
        <v>0</v>
      </c>
      <c r="FK87" s="11">
        <f>IF(DM87=1,IF(FC87=1,MIN(DO87,FF87),DO87),IF(FC87=1,FF87,DJ87))</f>
        <v>42653</v>
      </c>
      <c r="FL87" s="13">
        <f>(FK87-$I87)/365.25*12</f>
        <v>81.577002053388085</v>
      </c>
      <c r="FM87" s="14">
        <f>IF(OR(ED87,FC87), 1, 0)</f>
        <v>0</v>
      </c>
      <c r="FN87" s="11">
        <f>IF(ED87=1,IF(FC87=1,MIN(EE87,FF87),EE87),IF(FC87=1,FF87,DJ87))</f>
        <v>42653</v>
      </c>
      <c r="FO87" s="13">
        <f>(FN87-$I87)/365.25*12</f>
        <v>81.577002053388085</v>
      </c>
      <c r="FP87" s="14">
        <f>IF(OR(EI87,FC87), 1, 0)</f>
        <v>0</v>
      </c>
      <c r="FQ87" s="11">
        <f>IF(EI87=1,IF(FC87=1,MIN(EK87,FF87),EK87),IF(FC87=1,FF87,DJ87))</f>
        <v>42653</v>
      </c>
      <c r="FR87" s="13">
        <f>(FQ87-$I87)/365.25*12</f>
        <v>81.577002053388085</v>
      </c>
      <c r="FS87" s="12" t="s">
        <v>1690</v>
      </c>
      <c r="FU87" s="12">
        <v>0</v>
      </c>
      <c r="FV87" s="12">
        <v>0</v>
      </c>
      <c r="FW87" s="12">
        <v>0</v>
      </c>
      <c r="FX87" s="12">
        <v>0</v>
      </c>
      <c r="FY87" s="12" t="s">
        <v>1689</v>
      </c>
      <c r="FZ87" s="12"/>
      <c r="GA87" s="1">
        <v>7</v>
      </c>
      <c r="GB87" s="1">
        <v>5</v>
      </c>
      <c r="GC87" s="1">
        <v>1018.7914</v>
      </c>
      <c r="GD87" s="1">
        <v>588.92309999999998</v>
      </c>
      <c r="GE87" s="25">
        <v>0</v>
      </c>
      <c r="GF87" s="25">
        <v>0</v>
      </c>
      <c r="GG87" s="1">
        <v>384.48660000000001</v>
      </c>
      <c r="GH87" s="24">
        <v>71.184399999999997</v>
      </c>
    </row>
    <row r="88" spans="1:190" ht="12.75" customHeight="1">
      <c r="A88" s="1" t="s">
        <v>1565</v>
      </c>
      <c r="B88" s="12" t="s">
        <v>1564</v>
      </c>
      <c r="C88" s="12">
        <v>39809421</v>
      </c>
      <c r="D88" s="12">
        <v>0</v>
      </c>
      <c r="E88" s="12">
        <v>0</v>
      </c>
      <c r="F88" s="12">
        <v>1</v>
      </c>
      <c r="G88" s="12">
        <v>1</v>
      </c>
      <c r="H88" s="21"/>
      <c r="I88" s="11">
        <v>41407</v>
      </c>
      <c r="J88" s="11">
        <v>41389</v>
      </c>
      <c r="K88" s="11">
        <v>16023</v>
      </c>
      <c r="L88" s="20">
        <f>(DAYS360(K88,I88))/365</f>
        <v>68.547945205479451</v>
      </c>
      <c r="M88" s="12" t="s">
        <v>370</v>
      </c>
      <c r="N88" s="12">
        <v>1</v>
      </c>
      <c r="O88" s="12">
        <v>0</v>
      </c>
      <c r="P88" s="12" t="s">
        <v>423</v>
      </c>
      <c r="Q88" s="12">
        <v>1</v>
      </c>
      <c r="R88" s="12" t="s">
        <v>466</v>
      </c>
      <c r="S88" s="12">
        <v>20</v>
      </c>
      <c r="T88" s="12" t="s">
        <v>408</v>
      </c>
      <c r="U88" s="12">
        <v>1</v>
      </c>
      <c r="V88" s="12">
        <v>0</v>
      </c>
      <c r="W88" s="12">
        <v>0</v>
      </c>
      <c r="X88" s="12" t="s">
        <v>1563</v>
      </c>
      <c r="Y88" s="12">
        <v>1</v>
      </c>
      <c r="Z88" s="12">
        <v>1</v>
      </c>
      <c r="AA88" s="12" t="s">
        <v>382</v>
      </c>
      <c r="AB88" s="12" t="s">
        <v>381</v>
      </c>
      <c r="AC88" s="12">
        <v>2</v>
      </c>
      <c r="AD88" s="12" t="s">
        <v>394</v>
      </c>
      <c r="AE88" s="12" t="s">
        <v>465</v>
      </c>
      <c r="AF88" s="12">
        <v>0</v>
      </c>
      <c r="AG88" s="12">
        <v>0</v>
      </c>
      <c r="AH88" s="12">
        <v>0</v>
      </c>
      <c r="AI88" s="11">
        <v>41407</v>
      </c>
      <c r="AJ88" s="11">
        <v>41446</v>
      </c>
      <c r="AK88" s="19" t="s">
        <v>1562</v>
      </c>
      <c r="AL88" s="19" t="s">
        <v>499</v>
      </c>
      <c r="AM88" s="12">
        <v>1</v>
      </c>
      <c r="AN88" s="12">
        <v>0</v>
      </c>
      <c r="AO88" s="12">
        <v>1</v>
      </c>
      <c r="AP88" s="12">
        <v>0</v>
      </c>
      <c r="AQ88" s="12">
        <v>0</v>
      </c>
      <c r="AR88" s="12">
        <v>0</v>
      </c>
      <c r="AS88" s="12">
        <f>IF(AND(AM88=0,AU88&lt;=2), 1, 0)</f>
        <v>0</v>
      </c>
      <c r="AT88" s="12">
        <v>0</v>
      </c>
      <c r="AU88" s="12">
        <v>4</v>
      </c>
      <c r="AV88" s="12">
        <v>1</v>
      </c>
      <c r="AW88" s="12"/>
      <c r="AX88" s="12">
        <v>2</v>
      </c>
      <c r="AY88" s="12">
        <v>1</v>
      </c>
      <c r="AZ88" s="19" t="s">
        <v>362</v>
      </c>
      <c r="BA88" s="12">
        <v>2.5</v>
      </c>
      <c r="BB88" s="12">
        <v>120.4</v>
      </c>
      <c r="BC88" s="12">
        <v>4</v>
      </c>
      <c r="BD88" s="12">
        <v>3.5</v>
      </c>
      <c r="BE88" s="12">
        <v>328.4</v>
      </c>
      <c r="BF88" s="12" t="s">
        <v>1561</v>
      </c>
      <c r="BG88" s="12" t="s">
        <v>360</v>
      </c>
      <c r="BH88" s="12">
        <v>45</v>
      </c>
      <c r="BI88" s="12">
        <v>5.4</v>
      </c>
      <c r="BJ88" s="12">
        <v>1</v>
      </c>
      <c r="BK88" s="12">
        <f>BH88+BI88</f>
        <v>50.4</v>
      </c>
      <c r="BL88" s="12">
        <v>28</v>
      </c>
      <c r="BM88" s="12">
        <v>1.8</v>
      </c>
      <c r="BN88" s="12" t="s">
        <v>359</v>
      </c>
      <c r="BO88" s="12">
        <v>0</v>
      </c>
      <c r="BP88" s="12">
        <v>1</v>
      </c>
      <c r="BQ88" s="12">
        <v>1</v>
      </c>
      <c r="BR88" s="11">
        <v>41407</v>
      </c>
      <c r="BS88" s="12" t="s">
        <v>1560</v>
      </c>
      <c r="BT88" s="12" t="s">
        <v>1559</v>
      </c>
      <c r="BU88" s="12">
        <v>5</v>
      </c>
      <c r="BV88" s="12">
        <v>1</v>
      </c>
      <c r="BW88" s="12">
        <v>6.68</v>
      </c>
      <c r="BX88" s="12">
        <v>0.52200000000000002</v>
      </c>
      <c r="BY88" s="12">
        <v>0.39200000000000002</v>
      </c>
      <c r="BZ88" s="12">
        <v>14</v>
      </c>
      <c r="CA88" s="12">
        <v>175</v>
      </c>
      <c r="CB88" s="12">
        <v>1.55</v>
      </c>
      <c r="CC88" s="12">
        <v>3.5</v>
      </c>
      <c r="CD88" s="12">
        <v>2.7</v>
      </c>
      <c r="CE88" s="12">
        <v>1</v>
      </c>
      <c r="CF88" s="11">
        <v>41485</v>
      </c>
      <c r="CG88" s="7">
        <f>CF88-AJ88</f>
        <v>39</v>
      </c>
      <c r="CH88" s="12" t="s">
        <v>497</v>
      </c>
      <c r="CI88" s="12" t="s">
        <v>183</v>
      </c>
      <c r="CJ88" s="17" t="s">
        <v>182</v>
      </c>
      <c r="CK88" s="12" t="s">
        <v>663</v>
      </c>
      <c r="CL88" s="12" t="s">
        <v>45</v>
      </c>
      <c r="CM88" s="12">
        <v>1</v>
      </c>
      <c r="CN88" s="12" t="str">
        <f>MID(CK88,4,1)</f>
        <v>0</v>
      </c>
      <c r="CO88" s="17" t="s">
        <v>1558</v>
      </c>
      <c r="CP88" s="17">
        <v>0</v>
      </c>
      <c r="CQ88" s="17" t="s">
        <v>357</v>
      </c>
      <c r="CR88" s="17">
        <v>0</v>
      </c>
      <c r="CS88" s="12" t="s">
        <v>357</v>
      </c>
      <c r="CT88" s="12" t="s">
        <v>357</v>
      </c>
      <c r="CU88" s="12" t="s">
        <v>357</v>
      </c>
      <c r="CV88" s="17">
        <v>0</v>
      </c>
      <c r="CW88" s="12" t="s">
        <v>357</v>
      </c>
      <c r="CX88" s="12" t="s">
        <v>357</v>
      </c>
      <c r="CY88" s="12" t="s">
        <v>357</v>
      </c>
      <c r="CZ88" s="12">
        <v>0</v>
      </c>
      <c r="DA88" s="12">
        <v>61</v>
      </c>
      <c r="DB88" s="13">
        <f>CZ88/DA88*100</f>
        <v>0</v>
      </c>
      <c r="DC88" s="12" t="s">
        <v>357</v>
      </c>
      <c r="DD88" s="12" t="s">
        <v>357</v>
      </c>
      <c r="DE88" s="12" t="s">
        <v>357</v>
      </c>
      <c r="DF88" s="12" t="s">
        <v>357</v>
      </c>
      <c r="DG88" s="12" t="s">
        <v>1557</v>
      </c>
      <c r="DH88" s="16">
        <v>0</v>
      </c>
      <c r="DI88" s="16">
        <v>0</v>
      </c>
      <c r="DJ88" s="11">
        <v>44833</v>
      </c>
      <c r="DK88" s="11" t="s">
        <v>1556</v>
      </c>
      <c r="DL88" s="12">
        <f>(DJ88-I88)/365.25*12</f>
        <v>112.55852156057495</v>
      </c>
      <c r="DM88" s="12">
        <v>0</v>
      </c>
      <c r="DN88" s="12" t="s">
        <v>357</v>
      </c>
      <c r="DO88" s="12" t="s">
        <v>357</v>
      </c>
      <c r="DP88" s="12" t="s">
        <v>357</v>
      </c>
      <c r="DQ88" s="16">
        <v>0</v>
      </c>
      <c r="DR88" s="11" t="s">
        <v>45</v>
      </c>
      <c r="DS88" s="10">
        <f>IF(DQ88=1, (DR88-$I88)/365.25*12, IF(DQ88=0, $DL88, "ERROR"))</f>
        <v>112.55852156057495</v>
      </c>
      <c r="DT88" s="16">
        <v>0</v>
      </c>
      <c r="DU88" s="16">
        <v>0</v>
      </c>
      <c r="DV88" s="16">
        <v>0</v>
      </c>
      <c r="DW88" s="16">
        <f>DU88*(1-DV88)</f>
        <v>0</v>
      </c>
      <c r="DX88" s="16">
        <f>(1-DU88)*DV88</f>
        <v>0</v>
      </c>
      <c r="DY88" s="16">
        <f>DU88*DV88</f>
        <v>0</v>
      </c>
      <c r="DZ88" s="11" t="s">
        <v>45</v>
      </c>
      <c r="EA88" s="10">
        <f>IF(DT88=1, (DZ88-$I88)/365.25*12, IF(DT88=0, $DL88, "ERROR"))</f>
        <v>112.55852156057495</v>
      </c>
      <c r="EB88" s="16">
        <v>0</v>
      </c>
      <c r="EC88" s="16">
        <v>0</v>
      </c>
      <c r="ED88" s="16">
        <f>1-((1-DQ88)*(1-DT88))</f>
        <v>0</v>
      </c>
      <c r="EE88" s="11" t="s">
        <v>45</v>
      </c>
      <c r="EF88" s="12" t="s">
        <v>357</v>
      </c>
      <c r="EG88" s="16" t="s">
        <v>45</v>
      </c>
      <c r="EH88" s="12" t="s">
        <v>45</v>
      </c>
      <c r="EI88" s="12">
        <v>0</v>
      </c>
      <c r="EJ88" s="16">
        <f>(1-DQ88)*DX88*(1-EI88)</f>
        <v>0</v>
      </c>
      <c r="EK88" s="12" t="s">
        <v>357</v>
      </c>
      <c r="EL88" s="10">
        <f>IF(EI88=1, (EK88-$I88)/365.25*12, IF(EI88=0, $DL88, "ERROR"))</f>
        <v>112.55852156057495</v>
      </c>
      <c r="EM88" s="12" t="s">
        <v>357</v>
      </c>
      <c r="EN88" s="1">
        <v>0</v>
      </c>
      <c r="EO88" s="1">
        <v>0</v>
      </c>
      <c r="EP88" s="1">
        <v>0</v>
      </c>
      <c r="EQ88" s="1">
        <v>0</v>
      </c>
      <c r="ER88" s="1">
        <v>0</v>
      </c>
      <c r="ES88" s="1">
        <v>0</v>
      </c>
      <c r="ET88" s="1">
        <v>0</v>
      </c>
      <c r="EU88" s="1">
        <v>0</v>
      </c>
      <c r="EV88" s="1">
        <v>0</v>
      </c>
      <c r="EW88" s="1">
        <f>1-((1-EP88)*(1-ET88)*(1-EU88)*(1-EV88))</f>
        <v>0</v>
      </c>
      <c r="EX88" s="16">
        <v>0</v>
      </c>
      <c r="EY88" s="7">
        <v>0</v>
      </c>
      <c r="EZ88" s="7">
        <v>0</v>
      </c>
      <c r="FA88" s="7">
        <v>0</v>
      </c>
      <c r="FB88" s="12" t="s">
        <v>357</v>
      </c>
      <c r="FC88" s="12">
        <v>0</v>
      </c>
      <c r="FD88" s="12">
        <v>1</v>
      </c>
      <c r="FE88" s="12"/>
      <c r="FF88" s="30" t="s">
        <v>45</v>
      </c>
      <c r="FG88" s="3">
        <f>IF(FC88=1, FF88, IF(FD88=1, 44348, DJ88))</f>
        <v>44348</v>
      </c>
      <c r="FH88" s="13">
        <f>(FG88-I88)/365.25*12</f>
        <v>96.624229979466122</v>
      </c>
      <c r="FI88" s="20">
        <f>IF(DM88=1, (DO88-I88)/365.25*12, IF(DM88=0, DL88, "ERROR"))</f>
        <v>112.55852156057495</v>
      </c>
      <c r="FJ88" s="14">
        <f>IF(OR(DM88,FC88), 1, 0)</f>
        <v>0</v>
      </c>
      <c r="FK88" s="11">
        <f>IF(DM88=1,IF(FC88=1,MIN(DO88,FF88),DO88),IF(FC88=1,FF88,DJ88))</f>
        <v>44833</v>
      </c>
      <c r="FL88" s="13">
        <f>(FK88-$I88)/365.25*12</f>
        <v>112.55852156057495</v>
      </c>
      <c r="FM88" s="14">
        <f>IF(OR(ED88,FC88), 1, 0)</f>
        <v>0</v>
      </c>
      <c r="FN88" s="11">
        <f>IF(ED88=1,IF(FC88=1,MIN(EE88,FF88),EE88),IF(FC88=1,FF88,DJ88))</f>
        <v>44833</v>
      </c>
      <c r="FO88" s="13">
        <f>(FN88-$I88)/365.25*12</f>
        <v>112.55852156057495</v>
      </c>
      <c r="FP88" s="14">
        <f>IF(OR(EI88,FC88), 1, 0)</f>
        <v>0</v>
      </c>
      <c r="FQ88" s="11">
        <f>IF(EI88=1,IF(FC88=1,MIN(EK88,FF88),EK88),IF(FC88=1,FF88,DJ88))</f>
        <v>44833</v>
      </c>
      <c r="FR88" s="13">
        <f>(FQ88-$I88)/365.25*12</f>
        <v>112.55852156057495</v>
      </c>
      <c r="FS88" s="12"/>
      <c r="FT88" s="12"/>
      <c r="FU88" s="12">
        <v>1</v>
      </c>
      <c r="FV88" s="12">
        <v>1</v>
      </c>
      <c r="FW88" s="12">
        <v>0</v>
      </c>
      <c r="FX88" s="12">
        <v>0</v>
      </c>
      <c r="FY88" s="12" t="s">
        <v>1555</v>
      </c>
      <c r="FZ88" s="12"/>
      <c r="GA88" s="1">
        <v>7</v>
      </c>
      <c r="GB88" s="1">
        <v>7</v>
      </c>
      <c r="GC88" s="1">
        <v>4205.2839999999997</v>
      </c>
      <c r="GD88" s="1">
        <v>589.2056</v>
      </c>
      <c r="GE88" s="25">
        <v>5</v>
      </c>
      <c r="GF88" s="25">
        <v>5</v>
      </c>
      <c r="GG88" s="1">
        <v>1323.3343</v>
      </c>
      <c r="GH88" s="24">
        <v>758.46889999999996</v>
      </c>
    </row>
    <row r="89" spans="1:190" ht="12.75" customHeight="1">
      <c r="A89" s="1" t="s">
        <v>1688</v>
      </c>
      <c r="B89" s="12" t="s">
        <v>1687</v>
      </c>
      <c r="C89" s="12">
        <v>40413130</v>
      </c>
      <c r="D89" s="12">
        <v>0</v>
      </c>
      <c r="E89" s="12">
        <v>0</v>
      </c>
      <c r="F89" s="12">
        <v>1</v>
      </c>
      <c r="G89" s="12">
        <v>1</v>
      </c>
      <c r="H89" s="21"/>
      <c r="I89" s="11">
        <v>40343</v>
      </c>
      <c r="J89" s="11">
        <v>40332</v>
      </c>
      <c r="K89" s="11">
        <v>17070</v>
      </c>
      <c r="L89" s="20">
        <f>(DAYS360(K89,I89))/365</f>
        <v>62.846575342465755</v>
      </c>
      <c r="M89" s="12" t="s">
        <v>370</v>
      </c>
      <c r="N89" s="12">
        <v>1</v>
      </c>
      <c r="O89" s="12">
        <v>0</v>
      </c>
      <c r="P89" s="12" t="s">
        <v>357</v>
      </c>
      <c r="Q89" s="12"/>
      <c r="R89" s="12" t="s">
        <v>466</v>
      </c>
      <c r="S89" s="12">
        <v>34</v>
      </c>
      <c r="T89" s="12" t="s">
        <v>368</v>
      </c>
      <c r="U89" s="12">
        <v>0</v>
      </c>
      <c r="V89" s="12">
        <v>0</v>
      </c>
      <c r="W89" s="12">
        <v>1</v>
      </c>
      <c r="X89" s="12" t="s">
        <v>1686</v>
      </c>
      <c r="Y89" s="12">
        <v>1</v>
      </c>
      <c r="Z89" s="12">
        <v>1</v>
      </c>
      <c r="AA89" s="12" t="s">
        <v>382</v>
      </c>
      <c r="AB89" s="12" t="s">
        <v>381</v>
      </c>
      <c r="AC89" s="12">
        <v>2</v>
      </c>
      <c r="AD89" s="12" t="s">
        <v>1685</v>
      </c>
      <c r="AE89" s="12" t="s">
        <v>479</v>
      </c>
      <c r="AF89" s="12">
        <v>0</v>
      </c>
      <c r="AG89" s="12">
        <v>0</v>
      </c>
      <c r="AH89" s="12">
        <v>0</v>
      </c>
      <c r="AI89" s="11">
        <v>40343</v>
      </c>
      <c r="AJ89" s="11">
        <v>40380</v>
      </c>
      <c r="AK89" s="19" t="s">
        <v>1684</v>
      </c>
      <c r="AL89" s="19" t="s">
        <v>1683</v>
      </c>
      <c r="AM89" s="12">
        <v>0</v>
      </c>
      <c r="AN89" s="12">
        <v>0</v>
      </c>
      <c r="AO89" s="12">
        <v>0</v>
      </c>
      <c r="AP89" s="12">
        <v>0</v>
      </c>
      <c r="AQ89" s="12">
        <v>0</v>
      </c>
      <c r="AR89" s="12">
        <v>0</v>
      </c>
      <c r="AS89" s="12">
        <f>IF(AND(AM89=0,AU89&lt;=2), 1, 0)</f>
        <v>0</v>
      </c>
      <c r="AT89" s="12">
        <v>0</v>
      </c>
      <c r="AU89" s="12">
        <v>3</v>
      </c>
      <c r="AV89" s="12">
        <v>1</v>
      </c>
      <c r="AW89" s="12">
        <v>1</v>
      </c>
      <c r="AX89" s="12">
        <v>0.5</v>
      </c>
      <c r="AY89" s="19" t="s">
        <v>357</v>
      </c>
      <c r="AZ89" s="12">
        <v>0.5</v>
      </c>
      <c r="BA89" s="12">
        <f>2.061+5.939+0.5</f>
        <v>8.5</v>
      </c>
      <c r="BB89" s="12">
        <v>386.7</v>
      </c>
      <c r="BC89" s="12">
        <f>5-2.5+0.5</f>
        <v>3</v>
      </c>
      <c r="BD89" s="12">
        <f>10-6.5+0.5</f>
        <v>4</v>
      </c>
      <c r="BE89" s="12">
        <v>618.1</v>
      </c>
      <c r="BF89" s="12" t="s">
        <v>1682</v>
      </c>
      <c r="BG89" s="12" t="s">
        <v>360</v>
      </c>
      <c r="BH89" s="12">
        <v>45</v>
      </c>
      <c r="BI89" s="12">
        <v>5.4</v>
      </c>
      <c r="BJ89" s="12">
        <v>1</v>
      </c>
      <c r="BK89" s="12">
        <f>BH89+BI89</f>
        <v>50.4</v>
      </c>
      <c r="BL89" s="12">
        <v>28</v>
      </c>
      <c r="BM89" s="12">
        <v>1.8</v>
      </c>
      <c r="BN89" s="12" t="s">
        <v>359</v>
      </c>
      <c r="BO89" s="12">
        <v>0</v>
      </c>
      <c r="BP89" s="12">
        <v>1</v>
      </c>
      <c r="BQ89" s="12">
        <v>1</v>
      </c>
      <c r="BR89" s="11">
        <v>40343</v>
      </c>
      <c r="BS89" s="12" t="s">
        <v>78</v>
      </c>
      <c r="BT89" s="12" t="s">
        <v>77</v>
      </c>
      <c r="BU89" s="12">
        <v>6</v>
      </c>
      <c r="BV89" s="12">
        <v>1</v>
      </c>
      <c r="BW89" s="12">
        <v>12</v>
      </c>
      <c r="BX89" s="12">
        <v>0.66800000000000004</v>
      </c>
      <c r="BY89" s="12">
        <v>0.23200000000000001</v>
      </c>
      <c r="BZ89" s="12">
        <v>8.1</v>
      </c>
      <c r="CA89" s="12">
        <v>371</v>
      </c>
      <c r="CB89" s="12">
        <v>1.58</v>
      </c>
      <c r="CC89" s="12">
        <v>11</v>
      </c>
      <c r="CD89" s="12">
        <v>2.2999999999999998</v>
      </c>
      <c r="CE89" s="12">
        <v>1</v>
      </c>
      <c r="CF89" s="11">
        <v>40422</v>
      </c>
      <c r="CG89" s="7">
        <f>CF89-AJ89</f>
        <v>42</v>
      </c>
      <c r="CH89" s="12" t="s">
        <v>1681</v>
      </c>
      <c r="CI89" s="12" t="s">
        <v>1680</v>
      </c>
      <c r="CJ89" s="17" t="s">
        <v>515</v>
      </c>
      <c r="CK89" s="12" t="s">
        <v>663</v>
      </c>
      <c r="CL89" s="12" t="s">
        <v>45</v>
      </c>
      <c r="CM89" s="12">
        <v>1</v>
      </c>
      <c r="CN89" s="12" t="str">
        <f>MID(CK89,4,1)</f>
        <v>0</v>
      </c>
      <c r="CO89" s="17" t="s">
        <v>1558</v>
      </c>
      <c r="CP89" s="17">
        <v>0</v>
      </c>
      <c r="CQ89" s="17" t="s">
        <v>357</v>
      </c>
      <c r="CR89" s="17">
        <v>0</v>
      </c>
      <c r="CS89" s="12" t="s">
        <v>357</v>
      </c>
      <c r="CT89" s="12" t="s">
        <v>357</v>
      </c>
      <c r="CU89" s="12" t="s">
        <v>357</v>
      </c>
      <c r="CV89" s="17">
        <v>0</v>
      </c>
      <c r="CW89" s="12" t="s">
        <v>357</v>
      </c>
      <c r="CX89" s="12" t="s">
        <v>357</v>
      </c>
      <c r="CY89" s="12" t="s">
        <v>357</v>
      </c>
      <c r="CZ89" s="12">
        <v>0</v>
      </c>
      <c r="DA89" s="12">
        <v>55</v>
      </c>
      <c r="DB89" s="13">
        <f>CZ89/DA89*100</f>
        <v>0</v>
      </c>
      <c r="DC89" s="12" t="s">
        <v>357</v>
      </c>
      <c r="DD89" s="12" t="s">
        <v>357</v>
      </c>
      <c r="DE89" s="12" t="s">
        <v>357</v>
      </c>
      <c r="DF89" s="12" t="s">
        <v>357</v>
      </c>
      <c r="DG89" s="12" t="s">
        <v>1679</v>
      </c>
      <c r="DH89" s="16">
        <v>0</v>
      </c>
      <c r="DI89" s="16">
        <v>0</v>
      </c>
      <c r="DJ89" s="11">
        <v>41031</v>
      </c>
      <c r="DK89" s="11" t="s">
        <v>1678</v>
      </c>
      <c r="DL89" s="12">
        <f>(DJ89-I89)/365.25*12</f>
        <v>22.603696098562629</v>
      </c>
      <c r="DM89" s="12">
        <v>1</v>
      </c>
      <c r="DN89" s="12" t="s">
        <v>1677</v>
      </c>
      <c r="DO89" s="11">
        <v>40716</v>
      </c>
      <c r="DP89" s="11" t="s">
        <v>508</v>
      </c>
      <c r="DQ89" s="16">
        <v>0</v>
      </c>
      <c r="DR89" s="11" t="s">
        <v>45</v>
      </c>
      <c r="DS89" s="10">
        <f>IF(DQ89=1, (DR89-$I89)/365.25*12, IF(DQ89=0, $DL89, "ERROR"))</f>
        <v>22.603696098562629</v>
      </c>
      <c r="DT89" s="16">
        <v>1</v>
      </c>
      <c r="DU89" s="16">
        <v>0</v>
      </c>
      <c r="DV89" s="16">
        <v>1</v>
      </c>
      <c r="DW89" s="16">
        <f>DU89*(1-DV89)</f>
        <v>0</v>
      </c>
      <c r="DX89" s="16">
        <f>(1-DU89)*DV89</f>
        <v>1</v>
      </c>
      <c r="DY89" s="16">
        <f>DU89*DV89</f>
        <v>0</v>
      </c>
      <c r="DZ89" s="11">
        <v>40716</v>
      </c>
      <c r="EA89" s="10">
        <f>IF(DT89=1, (DZ89-$I89)/365.25*12, IF(DT89=0, $DL89, "ERROR"))</f>
        <v>12.254620123203285</v>
      </c>
      <c r="EB89" s="16">
        <v>1</v>
      </c>
      <c r="EC89" s="16">
        <v>0</v>
      </c>
      <c r="ED89" s="16">
        <f>1-((1-DQ89)*(1-DT89))</f>
        <v>1</v>
      </c>
      <c r="EE89" s="11">
        <f>MIN(DR89,DZ89)</f>
        <v>40716</v>
      </c>
      <c r="EF89" s="11" t="s">
        <v>1676</v>
      </c>
      <c r="EG89" s="16"/>
      <c r="EH89" s="11"/>
      <c r="EI89" s="12">
        <v>1</v>
      </c>
      <c r="EJ89" s="16">
        <f>(1-DQ89)*DX89*(1-EI89)</f>
        <v>0</v>
      </c>
      <c r="EK89" s="11">
        <v>40716</v>
      </c>
      <c r="EL89" s="10">
        <f>IF(EI89=1, (EK89-$I89)/365.25*12, IF(EI89=0, $DL89, "ERROR"))</f>
        <v>12.254620123203285</v>
      </c>
      <c r="EM89" s="11" t="s">
        <v>1675</v>
      </c>
      <c r="EN89" s="16">
        <v>0</v>
      </c>
      <c r="EO89" s="16">
        <v>1</v>
      </c>
      <c r="EP89" s="16">
        <v>0</v>
      </c>
      <c r="EQ89" s="16">
        <v>0</v>
      </c>
      <c r="ER89" s="16">
        <v>0</v>
      </c>
      <c r="ES89" s="16">
        <v>1</v>
      </c>
      <c r="ET89" s="16">
        <v>0</v>
      </c>
      <c r="EU89" s="16">
        <v>0</v>
      </c>
      <c r="EV89" s="16">
        <v>0</v>
      </c>
      <c r="EW89" s="1">
        <f>1-((1-EP89)*(1-ET89)*(1-EU89)*(1-EV89))</f>
        <v>0</v>
      </c>
      <c r="EX89" s="16">
        <v>1</v>
      </c>
      <c r="EY89" s="7">
        <v>0</v>
      </c>
      <c r="EZ89" s="7">
        <v>0</v>
      </c>
      <c r="FA89" s="7">
        <v>0</v>
      </c>
      <c r="FB89" s="11" t="s">
        <v>45</v>
      </c>
      <c r="FC89" s="12">
        <v>1</v>
      </c>
      <c r="FD89" s="12">
        <v>1</v>
      </c>
      <c r="FE89" s="11"/>
      <c r="FF89" s="18">
        <v>41049</v>
      </c>
      <c r="FG89" s="3">
        <f>IF(FC89=1, FF89, IF(FD89=1, 44348, DJ89))</f>
        <v>41049</v>
      </c>
      <c r="FH89" s="13">
        <f>(FG89-I89)/365.25*12</f>
        <v>23.195071868583163</v>
      </c>
      <c r="FI89" s="20">
        <f>IF(DM89=1, (DO89-I89)/365.25*12, IF(DM89=0, DL89, "ERROR"))</f>
        <v>12.254620123203285</v>
      </c>
      <c r="FJ89" s="14">
        <f>IF(OR(DM89,FC89), 1, 0)</f>
        <v>1</v>
      </c>
      <c r="FK89" s="11">
        <f>IF(DM89=1,IF(FC89=1,MIN(DO89,FF89),DO89),IF(FC89=1,FF89,DJ89))</f>
        <v>40716</v>
      </c>
      <c r="FL89" s="13">
        <f>(FK89-$I89)/365.25*12</f>
        <v>12.254620123203285</v>
      </c>
      <c r="FM89" s="14">
        <f>IF(OR(ED89,FC89), 1, 0)</f>
        <v>1</v>
      </c>
      <c r="FN89" s="11">
        <f>IF(ED89=1,IF(FC89=1,MIN(EE89,FF89),EE89),IF(FC89=1,FF89,DJ89))</f>
        <v>40716</v>
      </c>
      <c r="FO89" s="13">
        <f>(FN89-$I89)/365.25*12</f>
        <v>12.254620123203285</v>
      </c>
      <c r="FP89" s="14">
        <f>IF(OR(EI89,FC89), 1, 0)</f>
        <v>1</v>
      </c>
      <c r="FQ89" s="11">
        <f>IF(EI89=1,IF(FC89=1,MIN(EK89,FF89),EK89),IF(FC89=1,FF89,DJ89))</f>
        <v>40716</v>
      </c>
      <c r="FR89" s="13">
        <f>(FQ89-$I89)/365.25*12</f>
        <v>12.254620123203285</v>
      </c>
      <c r="FS89" s="12"/>
      <c r="FT89" s="12"/>
      <c r="FU89" s="12">
        <v>1</v>
      </c>
      <c r="FV89" s="12">
        <v>0</v>
      </c>
      <c r="FW89" s="12">
        <v>0</v>
      </c>
      <c r="FX89" s="12">
        <v>0</v>
      </c>
      <c r="FY89" s="12" t="s">
        <v>1674</v>
      </c>
      <c r="FZ89" s="12"/>
      <c r="GA89" s="1">
        <v>10</v>
      </c>
      <c r="GB89" s="1">
        <v>0</v>
      </c>
      <c r="GC89" s="1">
        <v>745.86249999999995</v>
      </c>
      <c r="GD89" s="1">
        <v>320.98880000000003</v>
      </c>
      <c r="GE89" s="25">
        <v>0</v>
      </c>
      <c r="GF89" s="25">
        <v>0</v>
      </c>
      <c r="GG89" s="1">
        <v>202.10130000000001</v>
      </c>
      <c r="GH89" s="24">
        <v>83.957999999999998</v>
      </c>
    </row>
    <row r="90" spans="1:190" ht="12.75" customHeight="1">
      <c r="A90" s="1" t="s">
        <v>1673</v>
      </c>
      <c r="B90" s="12" t="s">
        <v>1672</v>
      </c>
      <c r="C90" s="12">
        <v>40529679</v>
      </c>
      <c r="D90" s="12">
        <v>0</v>
      </c>
      <c r="E90" s="12">
        <v>0</v>
      </c>
      <c r="F90" s="12">
        <v>1</v>
      </c>
      <c r="G90" s="12">
        <v>1</v>
      </c>
      <c r="H90" s="21"/>
      <c r="I90" s="11">
        <v>40435</v>
      </c>
      <c r="J90" s="11">
        <v>40399</v>
      </c>
      <c r="K90" s="11">
        <v>15478</v>
      </c>
      <c r="L90" s="20">
        <f>(DAYS360(K90,I90))/365</f>
        <v>67.389041095890406</v>
      </c>
      <c r="M90" s="12" t="s">
        <v>370</v>
      </c>
      <c r="N90" s="12">
        <v>1</v>
      </c>
      <c r="O90" s="12">
        <v>0</v>
      </c>
      <c r="P90" s="12" t="s">
        <v>423</v>
      </c>
      <c r="Q90" s="12">
        <v>1</v>
      </c>
      <c r="R90" s="12" t="s">
        <v>466</v>
      </c>
      <c r="S90" s="12" t="s">
        <v>1671</v>
      </c>
      <c r="T90" s="12" t="s">
        <v>384</v>
      </c>
      <c r="U90" s="12">
        <v>0</v>
      </c>
      <c r="V90" s="12">
        <v>1</v>
      </c>
      <c r="W90" s="12">
        <v>0</v>
      </c>
      <c r="X90" s="12" t="s">
        <v>1670</v>
      </c>
      <c r="Y90" s="12">
        <v>3</v>
      </c>
      <c r="Z90" s="12">
        <v>0</v>
      </c>
      <c r="AA90" s="12" t="s">
        <v>65</v>
      </c>
      <c r="AB90" s="12" t="s">
        <v>365</v>
      </c>
      <c r="AC90" s="12">
        <v>2</v>
      </c>
      <c r="AD90" s="12"/>
      <c r="AE90" s="12"/>
      <c r="AF90" s="12">
        <v>0</v>
      </c>
      <c r="AG90" s="12">
        <v>0</v>
      </c>
      <c r="AH90" s="12">
        <v>0</v>
      </c>
      <c r="AI90" s="11">
        <v>40435</v>
      </c>
      <c r="AJ90" s="11">
        <v>40478</v>
      </c>
      <c r="AK90" s="19" t="s">
        <v>1669</v>
      </c>
      <c r="AL90" s="19" t="s">
        <v>392</v>
      </c>
      <c r="AM90" s="12">
        <v>0</v>
      </c>
      <c r="AN90" s="12">
        <v>0</v>
      </c>
      <c r="AO90" s="12">
        <v>0</v>
      </c>
      <c r="AP90" s="12">
        <v>0</v>
      </c>
      <c r="AQ90" s="12">
        <v>0</v>
      </c>
      <c r="AR90" s="12">
        <v>0</v>
      </c>
      <c r="AS90" s="12">
        <f>IF(AND(AM90=0,AU90&lt;=2), 1, 0)</f>
        <v>0</v>
      </c>
      <c r="AT90" s="12">
        <v>0</v>
      </c>
      <c r="AU90" s="12">
        <v>3</v>
      </c>
      <c r="AV90" s="12">
        <v>1</v>
      </c>
      <c r="AW90" s="12" t="s">
        <v>45</v>
      </c>
      <c r="AX90" s="12">
        <v>1</v>
      </c>
      <c r="AY90" s="19" t="s">
        <v>357</v>
      </c>
      <c r="AZ90" s="12">
        <v>0.5</v>
      </c>
      <c r="BA90" s="12">
        <v>2</v>
      </c>
      <c r="BB90" s="12">
        <v>156.5</v>
      </c>
      <c r="BC90" s="12">
        <v>4.5</v>
      </c>
      <c r="BD90" s="12">
        <v>3</v>
      </c>
      <c r="BE90" s="12">
        <v>257</v>
      </c>
      <c r="BF90" s="12" t="s">
        <v>1668</v>
      </c>
      <c r="BG90" s="12" t="s">
        <v>360</v>
      </c>
      <c r="BH90" s="12">
        <v>45</v>
      </c>
      <c r="BI90" s="12">
        <v>5.4</v>
      </c>
      <c r="BJ90" s="12">
        <v>1</v>
      </c>
      <c r="BK90" s="12">
        <f>BH90+BI90</f>
        <v>50.4</v>
      </c>
      <c r="BL90" s="12">
        <v>28</v>
      </c>
      <c r="BM90" s="12">
        <v>1.8</v>
      </c>
      <c r="BN90" s="12" t="s">
        <v>359</v>
      </c>
      <c r="BO90" s="12">
        <v>0</v>
      </c>
      <c r="BP90" s="12">
        <v>1</v>
      </c>
      <c r="BQ90" s="12">
        <v>1</v>
      </c>
      <c r="BR90" s="11">
        <v>40437</v>
      </c>
      <c r="BS90" s="12" t="s">
        <v>91</v>
      </c>
      <c r="BT90" s="12" t="s">
        <v>90</v>
      </c>
      <c r="BU90" s="12">
        <v>2</v>
      </c>
      <c r="BV90" s="12">
        <v>1</v>
      </c>
      <c r="BW90" s="12">
        <v>12.84</v>
      </c>
      <c r="BX90" s="12">
        <v>0.79700000000000004</v>
      </c>
      <c r="BY90" s="12">
        <v>0.125</v>
      </c>
      <c r="BZ90" s="12">
        <v>12.7</v>
      </c>
      <c r="CA90" s="12">
        <v>543</v>
      </c>
      <c r="CB90" s="12">
        <v>1.56</v>
      </c>
      <c r="CC90" s="12">
        <v>5.9</v>
      </c>
      <c r="CD90" s="12">
        <v>3.6</v>
      </c>
      <c r="CE90" s="12">
        <v>1</v>
      </c>
      <c r="CF90" s="11">
        <v>40519</v>
      </c>
      <c r="CG90" s="7">
        <f>CF90-AJ90</f>
        <v>41</v>
      </c>
      <c r="CH90" s="17" t="s">
        <v>461</v>
      </c>
      <c r="CI90" s="17" t="s">
        <v>460</v>
      </c>
      <c r="CJ90" s="17" t="s">
        <v>1273</v>
      </c>
      <c r="CK90" s="12" t="s">
        <v>1550</v>
      </c>
      <c r="CL90" s="12" t="s">
        <v>365</v>
      </c>
      <c r="CM90" s="12">
        <v>0</v>
      </c>
      <c r="CN90" s="12" t="str">
        <f>MID(CK90,4,1)</f>
        <v>3</v>
      </c>
      <c r="CO90" s="12" t="s">
        <v>1635</v>
      </c>
      <c r="CP90" s="12">
        <v>2</v>
      </c>
      <c r="CQ90" s="17" t="s">
        <v>1667</v>
      </c>
      <c r="CR90" s="17">
        <v>3.6</v>
      </c>
      <c r="CS90" s="12" t="s">
        <v>1581</v>
      </c>
      <c r="CT90" s="12" t="s">
        <v>455</v>
      </c>
      <c r="CU90" s="12" t="s">
        <v>454</v>
      </c>
      <c r="CV90" s="17">
        <v>0</v>
      </c>
      <c r="CW90" s="12">
        <v>2.9</v>
      </c>
      <c r="CX90" s="12">
        <v>7.9</v>
      </c>
      <c r="CY90" s="12">
        <v>0.1</v>
      </c>
      <c r="CZ90" s="12">
        <v>2</v>
      </c>
      <c r="DA90" s="12">
        <v>34</v>
      </c>
      <c r="DB90" s="13">
        <f>CZ90/DA90*100</f>
        <v>5.8823529411764701</v>
      </c>
      <c r="DC90" s="12">
        <v>1</v>
      </c>
      <c r="DD90" s="12">
        <v>0</v>
      </c>
      <c r="DE90" s="12">
        <v>0</v>
      </c>
      <c r="DF90" s="12">
        <v>0</v>
      </c>
      <c r="DG90" s="12" t="s">
        <v>1666</v>
      </c>
      <c r="DH90" s="16">
        <v>0</v>
      </c>
      <c r="DI90" s="16">
        <v>0</v>
      </c>
      <c r="DJ90" s="11">
        <v>40945</v>
      </c>
      <c r="DK90" s="11"/>
      <c r="DL90" s="12">
        <f>(DJ90-I90)/365.25*12</f>
        <v>16.755646817248461</v>
      </c>
      <c r="DM90" s="12">
        <v>1</v>
      </c>
      <c r="DN90" s="12" t="s">
        <v>1665</v>
      </c>
      <c r="DO90" s="11">
        <v>40945</v>
      </c>
      <c r="DP90" s="19" t="s">
        <v>1436</v>
      </c>
      <c r="DQ90" s="16">
        <v>1</v>
      </c>
      <c r="DR90" s="11">
        <v>41311</v>
      </c>
      <c r="DS90" s="10">
        <f>IF(DQ90=1, (DR90-$I90)/365.25*12, IF(DQ90=0, $DL90, "ERROR"))</f>
        <v>28.780287474332649</v>
      </c>
      <c r="DT90" s="16">
        <v>1</v>
      </c>
      <c r="DU90" s="16">
        <v>0</v>
      </c>
      <c r="DV90" s="16">
        <v>1</v>
      </c>
      <c r="DW90" s="16">
        <f>DU90*(1-DV90)</f>
        <v>0</v>
      </c>
      <c r="DX90" s="16">
        <f>(1-DU90)*DV90</f>
        <v>1</v>
      </c>
      <c r="DY90" s="16">
        <f>DU90*DV90</f>
        <v>0</v>
      </c>
      <c r="DZ90" s="11">
        <v>40945</v>
      </c>
      <c r="EA90" s="10">
        <f>IF(DT90=1, (DZ90-$I90)/365.25*12, IF(DT90=0, $DL90, "ERROR"))</f>
        <v>16.755646817248461</v>
      </c>
      <c r="EB90" s="16">
        <v>1</v>
      </c>
      <c r="EC90" s="16">
        <v>0</v>
      </c>
      <c r="ED90" s="16">
        <f>1-((1-DQ90)*(1-DT90))</f>
        <v>1</v>
      </c>
      <c r="EE90" s="11">
        <f>MIN(DR90,DZ90)</f>
        <v>40945</v>
      </c>
      <c r="EF90" s="11" t="s">
        <v>1649</v>
      </c>
      <c r="EG90" s="16">
        <v>1</v>
      </c>
      <c r="EH90" s="11" t="s">
        <v>1664</v>
      </c>
      <c r="EI90" s="12">
        <v>1</v>
      </c>
      <c r="EJ90" s="16">
        <f>(1-DQ90)*DX90*(1-EI90)</f>
        <v>0</v>
      </c>
      <c r="EK90" s="11">
        <v>40945</v>
      </c>
      <c r="EL90" s="10">
        <f>IF(EI90=1, (EK90-$I90)/365.25*12, IF(EI90=0, $DL90, "ERROR"))</f>
        <v>16.755646817248461</v>
      </c>
      <c r="EM90" s="11" t="s">
        <v>1663</v>
      </c>
      <c r="EN90" s="16">
        <v>1</v>
      </c>
      <c r="EO90" s="16">
        <v>0</v>
      </c>
      <c r="EP90" s="16">
        <v>0</v>
      </c>
      <c r="EQ90" s="16">
        <v>0</v>
      </c>
      <c r="ER90" s="16">
        <v>0</v>
      </c>
      <c r="ES90" s="16">
        <v>1</v>
      </c>
      <c r="ET90" s="16">
        <v>0</v>
      </c>
      <c r="EU90" s="16">
        <v>0</v>
      </c>
      <c r="EV90" s="16">
        <v>0</v>
      </c>
      <c r="EW90" s="1">
        <f>1-((1-EP90)*(1-ET90)*(1-EU90)*(1-EV90))</f>
        <v>0</v>
      </c>
      <c r="EX90" s="16">
        <v>0</v>
      </c>
      <c r="EY90" s="16">
        <v>1</v>
      </c>
      <c r="EZ90" s="16">
        <v>0</v>
      </c>
      <c r="FA90" s="16">
        <v>0</v>
      </c>
      <c r="FB90" s="11" t="s">
        <v>45</v>
      </c>
      <c r="FC90" s="12">
        <v>1</v>
      </c>
      <c r="FD90" s="12">
        <v>1</v>
      </c>
      <c r="FE90" s="11"/>
      <c r="FF90" s="18">
        <v>41428</v>
      </c>
      <c r="FG90" s="3">
        <f>IF(FC90=1, FF90, IF(FD90=1, 44348, DJ90))</f>
        <v>41428</v>
      </c>
      <c r="FH90" s="13">
        <f>(FG90-I90)/365.25*12</f>
        <v>32.624229979466122</v>
      </c>
      <c r="FI90" s="20">
        <f>IF(DM90=1, (DO90-I90)/365.25*12, IF(DM90=0, DL90, "ERROR"))</f>
        <v>16.755646817248461</v>
      </c>
      <c r="FJ90" s="14">
        <f>IF(OR(DM90,FC90), 1, 0)</f>
        <v>1</v>
      </c>
      <c r="FK90" s="11">
        <f>IF(DM90=1,IF(FC90=1,MIN(DO90,FF90),DO90),IF(FC90=1,FF90,DJ90))</f>
        <v>40945</v>
      </c>
      <c r="FL90" s="13">
        <f>(FK90-$I90)/365.25*12</f>
        <v>16.755646817248461</v>
      </c>
      <c r="FM90" s="14">
        <f>IF(OR(ED90,FC90), 1, 0)</f>
        <v>1</v>
      </c>
      <c r="FN90" s="11">
        <f>IF(ED90=1,IF(FC90=1,MIN(EE90,FF90),EE90),IF(FC90=1,FF90,DJ90))</f>
        <v>40945</v>
      </c>
      <c r="FO90" s="13">
        <f>(FN90-$I90)/365.25*12</f>
        <v>16.755646817248461</v>
      </c>
      <c r="FP90" s="14">
        <f>IF(OR(EI90,FC90), 1, 0)</f>
        <v>1</v>
      </c>
      <c r="FQ90" s="11">
        <f>IF(EI90=1,IF(FC90=1,MIN(EK90,FF90),EK90),IF(FC90=1,FF90,DJ90))</f>
        <v>40945</v>
      </c>
      <c r="FR90" s="13">
        <f>(FQ90-$I90)/365.25*12</f>
        <v>16.755646817248461</v>
      </c>
      <c r="FS90" s="12"/>
      <c r="FT90" s="12"/>
      <c r="FU90" s="12">
        <v>0</v>
      </c>
      <c r="FV90" s="12">
        <v>0</v>
      </c>
      <c r="FW90" s="12">
        <v>0</v>
      </c>
      <c r="FX90" s="12">
        <v>0</v>
      </c>
      <c r="FY90" s="12" t="s">
        <v>1662</v>
      </c>
      <c r="FZ90" s="12"/>
      <c r="GA90" s="1">
        <v>0.5</v>
      </c>
      <c r="GB90" s="1">
        <v>0</v>
      </c>
      <c r="GC90" s="1">
        <v>325.92970000000003</v>
      </c>
      <c r="GD90" s="1">
        <v>79.875299999999996</v>
      </c>
      <c r="GE90" s="25">
        <v>5</v>
      </c>
      <c r="GF90" s="25">
        <v>3</v>
      </c>
      <c r="GG90" s="1">
        <v>117.0108</v>
      </c>
      <c r="GH90" s="24">
        <v>78.722099999999998</v>
      </c>
    </row>
    <row r="91" spans="1:190" ht="12.75" customHeight="1">
      <c r="A91" s="1" t="s">
        <v>1661</v>
      </c>
      <c r="B91" s="12" t="s">
        <v>1660</v>
      </c>
      <c r="C91" s="12">
        <v>40815882</v>
      </c>
      <c r="D91" s="12">
        <v>0</v>
      </c>
      <c r="E91" s="12">
        <v>0</v>
      </c>
      <c r="F91" s="12">
        <v>1</v>
      </c>
      <c r="G91" s="12">
        <v>1</v>
      </c>
      <c r="H91" s="21"/>
      <c r="I91" s="11">
        <v>40448</v>
      </c>
      <c r="J91" s="11">
        <v>40428</v>
      </c>
      <c r="K91" s="11">
        <v>15757</v>
      </c>
      <c r="L91" s="20">
        <f>(DAYS360(K91,I91))/365</f>
        <v>66.676712328767124</v>
      </c>
      <c r="M91" s="12" t="s">
        <v>370</v>
      </c>
      <c r="N91" s="12">
        <v>1</v>
      </c>
      <c r="O91" s="12">
        <v>0</v>
      </c>
      <c r="P91" s="12" t="s">
        <v>423</v>
      </c>
      <c r="Q91" s="12">
        <v>1</v>
      </c>
      <c r="R91" s="12" t="s">
        <v>466</v>
      </c>
      <c r="S91" s="12" t="s">
        <v>1659</v>
      </c>
      <c r="T91" s="12" t="s">
        <v>368</v>
      </c>
      <c r="U91" s="12">
        <v>0</v>
      </c>
      <c r="V91" s="12">
        <v>0</v>
      </c>
      <c r="W91" s="12">
        <v>1</v>
      </c>
      <c r="X91" s="12" t="s">
        <v>1658</v>
      </c>
      <c r="Y91" s="12">
        <v>3</v>
      </c>
      <c r="Z91" s="12">
        <v>2</v>
      </c>
      <c r="AA91" s="12" t="s">
        <v>96</v>
      </c>
      <c r="AB91" s="12" t="s">
        <v>716</v>
      </c>
      <c r="AC91" s="12">
        <v>5</v>
      </c>
      <c r="AD91" s="12" t="s">
        <v>1657</v>
      </c>
      <c r="AE91" s="12"/>
      <c r="AF91" s="12">
        <v>1</v>
      </c>
      <c r="AG91" s="12">
        <v>1</v>
      </c>
      <c r="AH91" s="12">
        <v>1</v>
      </c>
      <c r="AI91" s="11">
        <v>40448</v>
      </c>
      <c r="AJ91" s="11">
        <v>40486</v>
      </c>
      <c r="AK91" s="19" t="s">
        <v>1656</v>
      </c>
      <c r="AL91" s="19" t="s">
        <v>392</v>
      </c>
      <c r="AM91" s="12">
        <v>1</v>
      </c>
      <c r="AN91" s="12">
        <v>1</v>
      </c>
      <c r="AO91" s="12">
        <v>0</v>
      </c>
      <c r="AP91" s="12">
        <v>0</v>
      </c>
      <c r="AQ91" s="12">
        <v>0</v>
      </c>
      <c r="AR91" s="12">
        <v>0</v>
      </c>
      <c r="AS91" s="12">
        <f>IF(AND(AM91=0,AU91&lt;=2), 1, 0)</f>
        <v>0</v>
      </c>
      <c r="AT91" s="12">
        <v>0</v>
      </c>
      <c r="AU91" s="12">
        <v>2</v>
      </c>
      <c r="AV91" s="12">
        <v>1</v>
      </c>
      <c r="AW91" s="12">
        <v>1</v>
      </c>
      <c r="AX91" s="12">
        <v>1</v>
      </c>
      <c r="AY91" s="19" t="s">
        <v>357</v>
      </c>
      <c r="AZ91" s="12">
        <v>0.5</v>
      </c>
      <c r="BA91" s="12">
        <f>1+6+0.5</f>
        <v>7.5</v>
      </c>
      <c r="BB91" s="12">
        <v>183.1</v>
      </c>
      <c r="BC91" s="12">
        <f>11-1.5+0.5</f>
        <v>10</v>
      </c>
      <c r="BD91" s="12">
        <v>2</v>
      </c>
      <c r="BE91" s="12">
        <v>345.3</v>
      </c>
      <c r="BF91" s="12" t="s">
        <v>1655</v>
      </c>
      <c r="BG91" s="12" t="s">
        <v>360</v>
      </c>
      <c r="BH91" s="12">
        <v>45</v>
      </c>
      <c r="BI91" s="12">
        <v>5.4</v>
      </c>
      <c r="BJ91" s="12">
        <v>1</v>
      </c>
      <c r="BK91" s="12">
        <f>BH91+BI91</f>
        <v>50.4</v>
      </c>
      <c r="BL91" s="12">
        <v>28</v>
      </c>
      <c r="BM91" s="12">
        <v>1.8</v>
      </c>
      <c r="BN91" s="12" t="s">
        <v>359</v>
      </c>
      <c r="BO91" s="12">
        <v>0</v>
      </c>
      <c r="BP91" s="12">
        <v>1</v>
      </c>
      <c r="BQ91" s="12">
        <v>1</v>
      </c>
      <c r="BR91" s="11">
        <v>40450</v>
      </c>
      <c r="BS91" s="12" t="s">
        <v>91</v>
      </c>
      <c r="BT91" s="12" t="s">
        <v>90</v>
      </c>
      <c r="BU91" s="12">
        <v>2</v>
      </c>
      <c r="BV91" s="12">
        <v>1</v>
      </c>
      <c r="BW91" s="12">
        <v>8.4700000000000006</v>
      </c>
      <c r="BX91" s="12">
        <v>0.60899999999999999</v>
      </c>
      <c r="BY91" s="12">
        <v>0.309</v>
      </c>
      <c r="BZ91" s="12">
        <v>13.2</v>
      </c>
      <c r="CA91" s="12">
        <v>246</v>
      </c>
      <c r="CB91" s="12">
        <v>1.4</v>
      </c>
      <c r="CC91" s="12">
        <v>12.5</v>
      </c>
      <c r="CD91" s="12">
        <v>3.1</v>
      </c>
      <c r="CE91" s="12">
        <v>1</v>
      </c>
      <c r="CF91" s="11">
        <v>40522</v>
      </c>
      <c r="CG91" s="7">
        <f>CF91-AJ91</f>
        <v>36</v>
      </c>
      <c r="CH91" s="12" t="s">
        <v>1654</v>
      </c>
      <c r="CI91" s="17" t="s">
        <v>460</v>
      </c>
      <c r="CJ91" s="17" t="s">
        <v>515</v>
      </c>
      <c r="CK91" s="12" t="s">
        <v>1653</v>
      </c>
      <c r="CL91" s="12" t="s">
        <v>96</v>
      </c>
      <c r="CM91" s="12">
        <v>0</v>
      </c>
      <c r="CN91" s="12" t="str">
        <f>MID(CK91,4,1)</f>
        <v>3</v>
      </c>
      <c r="CO91" s="12" t="s">
        <v>1635</v>
      </c>
      <c r="CP91" s="12">
        <v>2</v>
      </c>
      <c r="CQ91" s="17" t="s">
        <v>1652</v>
      </c>
      <c r="CR91" s="17">
        <v>5.3</v>
      </c>
      <c r="CS91" s="12" t="s">
        <v>1581</v>
      </c>
      <c r="CT91" s="12" t="s">
        <v>455</v>
      </c>
      <c r="CU91" s="12" t="s">
        <v>472</v>
      </c>
      <c r="CV91" s="17">
        <v>0</v>
      </c>
      <c r="CW91" s="12">
        <v>3.4</v>
      </c>
      <c r="CX91" s="12">
        <v>5.0999999999999996</v>
      </c>
      <c r="CY91" s="12">
        <v>0.2</v>
      </c>
      <c r="CZ91" s="12">
        <v>0</v>
      </c>
      <c r="DA91" s="12">
        <v>32</v>
      </c>
      <c r="DB91" s="13">
        <f>CZ91/DA91*100</f>
        <v>0</v>
      </c>
      <c r="DC91" s="12">
        <v>1</v>
      </c>
      <c r="DD91" s="12">
        <v>0</v>
      </c>
      <c r="DE91" s="12">
        <v>1</v>
      </c>
      <c r="DF91" s="12">
        <v>0</v>
      </c>
      <c r="DG91" s="12" t="s">
        <v>1651</v>
      </c>
      <c r="DH91" s="16">
        <v>0</v>
      </c>
      <c r="DI91" s="16">
        <v>1</v>
      </c>
      <c r="DJ91" s="11">
        <v>41079</v>
      </c>
      <c r="DK91" s="11"/>
      <c r="DL91" s="12">
        <f>(DJ91-I91)/365.25*12</f>
        <v>20.73100616016427</v>
      </c>
      <c r="DM91" s="12">
        <v>1</v>
      </c>
      <c r="DN91" s="12" t="s">
        <v>1650</v>
      </c>
      <c r="DO91" s="11">
        <v>40613</v>
      </c>
      <c r="DP91" s="19" t="s">
        <v>451</v>
      </c>
      <c r="DQ91" s="16">
        <v>0</v>
      </c>
      <c r="DR91" s="11" t="s">
        <v>45</v>
      </c>
      <c r="DS91" s="10">
        <f>IF(DQ91=1, (DR91-$I91)/365.25*12, IF(DQ91=0, $DL91, "ERROR"))</f>
        <v>20.73100616016427</v>
      </c>
      <c r="DT91" s="16">
        <v>1</v>
      </c>
      <c r="DU91" s="16">
        <v>1</v>
      </c>
      <c r="DV91" s="16">
        <v>0</v>
      </c>
      <c r="DW91" s="16">
        <f>DU91*(1-DV91)</f>
        <v>1</v>
      </c>
      <c r="DX91" s="16">
        <f>(1-DU91)*DV91</f>
        <v>0</v>
      </c>
      <c r="DY91" s="16">
        <f>DU91*DV91</f>
        <v>0</v>
      </c>
      <c r="DZ91" s="11">
        <v>40613</v>
      </c>
      <c r="EA91" s="10">
        <f>IF(DT91=1, (DZ91-$I91)/365.25*12, IF(DT91=0, $DL91, "ERROR"))</f>
        <v>5.4209445585215601</v>
      </c>
      <c r="EB91" s="16">
        <v>1</v>
      </c>
      <c r="EC91" s="16">
        <v>0</v>
      </c>
      <c r="ED91" s="16">
        <f>1-((1-DQ91)*(1-DT91))</f>
        <v>1</v>
      </c>
      <c r="EE91" s="11">
        <f>MIN(DR91,DZ91)</f>
        <v>40613</v>
      </c>
      <c r="EF91" s="11" t="s">
        <v>1649</v>
      </c>
      <c r="EG91" s="16" t="s">
        <v>635</v>
      </c>
      <c r="EH91" s="11" t="s">
        <v>45</v>
      </c>
      <c r="EI91" s="12">
        <v>0</v>
      </c>
      <c r="EJ91" s="16">
        <f>(1-DQ91)*DX91*(1-EI91)</f>
        <v>0</v>
      </c>
      <c r="EK91" s="11" t="s">
        <v>45</v>
      </c>
      <c r="EL91" s="10">
        <f>IF(EI91=1, (EK91-$I91)/365.25*12, IF(EI91=0, $DL91, "ERROR"))</f>
        <v>20.73100616016427</v>
      </c>
      <c r="EM91" s="11" t="s">
        <v>45</v>
      </c>
      <c r="EN91" s="1">
        <v>0</v>
      </c>
      <c r="EO91" s="1">
        <v>0</v>
      </c>
      <c r="EP91" s="1">
        <v>0</v>
      </c>
      <c r="EQ91" s="1">
        <v>0</v>
      </c>
      <c r="ER91" s="1">
        <v>0</v>
      </c>
      <c r="ES91" s="1">
        <v>0</v>
      </c>
      <c r="ET91" s="1">
        <v>0</v>
      </c>
      <c r="EU91" s="1">
        <v>0</v>
      </c>
      <c r="EV91" s="1">
        <v>0</v>
      </c>
      <c r="EW91" s="1">
        <f>1-((1-EP91)*(1-ET91)*(1-EU91)*(1-EV91))</f>
        <v>0</v>
      </c>
      <c r="EX91" s="16">
        <v>0</v>
      </c>
      <c r="EY91" s="7">
        <v>0</v>
      </c>
      <c r="EZ91" s="7">
        <v>0</v>
      </c>
      <c r="FA91" s="7">
        <v>0</v>
      </c>
      <c r="FB91" s="11" t="s">
        <v>45</v>
      </c>
      <c r="FC91" s="12">
        <v>1</v>
      </c>
      <c r="FD91" s="12">
        <v>1</v>
      </c>
      <c r="FE91" s="11"/>
      <c r="FF91" s="18">
        <v>41079</v>
      </c>
      <c r="FG91" s="3">
        <f>IF(FC91=1, FF91, IF(FD91=1, 44348, DJ91))</f>
        <v>41079</v>
      </c>
      <c r="FH91" s="13">
        <f>(FG91-I91)/365.25*12</f>
        <v>20.73100616016427</v>
      </c>
      <c r="FI91" s="20">
        <f>IF(DM91=1, (DO91-I91)/365.25*12, IF(DM91=0, DL91, "ERROR"))</f>
        <v>5.4209445585215601</v>
      </c>
      <c r="FJ91" s="14">
        <f>IF(OR(DM91,FC91), 1, 0)</f>
        <v>1</v>
      </c>
      <c r="FK91" s="11">
        <f>IF(DM91=1,IF(FC91=1,MIN(DO91,FF91),DO91),IF(FC91=1,FF91,DJ91))</f>
        <v>40613</v>
      </c>
      <c r="FL91" s="13">
        <f>(FK91-$I91)/365.25*12</f>
        <v>5.4209445585215601</v>
      </c>
      <c r="FM91" s="14">
        <f>IF(OR(ED91,FC91), 1, 0)</f>
        <v>1</v>
      </c>
      <c r="FN91" s="11">
        <f>IF(ED91=1,IF(FC91=1,MIN(EE91,FF91),EE91),IF(FC91=1,FF91,DJ91))</f>
        <v>40613</v>
      </c>
      <c r="FO91" s="13">
        <f>(FN91-$I91)/365.25*12</f>
        <v>5.4209445585215601</v>
      </c>
      <c r="FP91" s="14">
        <f>IF(OR(EI91,FC91), 1, 0)</f>
        <v>1</v>
      </c>
      <c r="FQ91" s="11">
        <f>IF(EI91=1,IF(FC91=1,MIN(EK91,FF91),EK91),IF(FC91=1,FF91,DJ91))</f>
        <v>41079</v>
      </c>
      <c r="FR91" s="13">
        <f>(FQ91-$I91)/365.25*12</f>
        <v>20.73100616016427</v>
      </c>
      <c r="FS91" s="12"/>
      <c r="FT91" s="12"/>
      <c r="FU91" s="12">
        <v>1</v>
      </c>
      <c r="FV91" s="12">
        <v>1</v>
      </c>
      <c r="FW91" s="12">
        <v>1</v>
      </c>
      <c r="FX91" s="12">
        <v>0</v>
      </c>
      <c r="FY91" s="12" t="s">
        <v>1648</v>
      </c>
      <c r="FZ91" s="12"/>
      <c r="GA91" s="1">
        <v>20</v>
      </c>
      <c r="GB91" s="1">
        <v>0.5</v>
      </c>
      <c r="GC91" s="1">
        <v>1075.8143</v>
      </c>
      <c r="GD91" s="1">
        <v>299.91109999999998</v>
      </c>
      <c r="GE91" s="25">
        <v>10</v>
      </c>
      <c r="GF91" s="25">
        <v>10</v>
      </c>
      <c r="GG91" s="1">
        <v>282.24919999999997</v>
      </c>
      <c r="GH91" s="24">
        <v>107.7527</v>
      </c>
    </row>
    <row r="92" spans="1:190" ht="12.75" customHeight="1">
      <c r="A92" s="1" t="s">
        <v>1303</v>
      </c>
      <c r="B92" s="15" t="s">
        <v>1302</v>
      </c>
      <c r="C92" s="1">
        <v>41178353</v>
      </c>
      <c r="D92" s="1">
        <v>0</v>
      </c>
      <c r="E92" s="1">
        <v>0</v>
      </c>
      <c r="F92" s="1">
        <v>1</v>
      </c>
      <c r="G92" s="12">
        <v>1</v>
      </c>
      <c r="I92" s="3">
        <v>43228</v>
      </c>
      <c r="J92" s="3">
        <v>43193</v>
      </c>
      <c r="K92" s="3">
        <v>23204</v>
      </c>
      <c r="L92" s="5">
        <f>(DAYS360(K92,I92))/365</f>
        <v>54.07123287671233</v>
      </c>
      <c r="M92" s="1" t="s">
        <v>5</v>
      </c>
      <c r="N92" s="1">
        <v>1</v>
      </c>
      <c r="O92" s="1">
        <v>0</v>
      </c>
      <c r="P92" s="1" t="s">
        <v>69</v>
      </c>
      <c r="Q92" s="1">
        <v>1</v>
      </c>
      <c r="R92" s="1" t="s">
        <v>209</v>
      </c>
      <c r="S92" s="1">
        <v>32</v>
      </c>
      <c r="T92" s="1" t="s">
        <v>67</v>
      </c>
      <c r="U92" s="1">
        <v>0</v>
      </c>
      <c r="V92" s="1">
        <v>0</v>
      </c>
      <c r="W92" s="1">
        <v>1</v>
      </c>
      <c r="X92" s="1" t="s">
        <v>187</v>
      </c>
      <c r="Y92" s="1">
        <v>3</v>
      </c>
      <c r="Z92" s="1">
        <v>2</v>
      </c>
      <c r="AA92" s="1" t="s">
        <v>116</v>
      </c>
      <c r="AC92" s="1">
        <v>3</v>
      </c>
      <c r="AD92" s="1" t="s">
        <v>1301</v>
      </c>
      <c r="AE92" s="1" t="s">
        <v>114</v>
      </c>
      <c r="AF92" s="1">
        <v>0</v>
      </c>
      <c r="AG92" s="1">
        <v>0</v>
      </c>
      <c r="AH92" s="1">
        <v>0</v>
      </c>
      <c r="AI92" s="3">
        <v>43228</v>
      </c>
      <c r="AJ92" s="3">
        <v>43270</v>
      </c>
      <c r="AK92" s="6" t="s">
        <v>1300</v>
      </c>
      <c r="AL92" s="6" t="s">
        <v>250</v>
      </c>
      <c r="AM92" s="1">
        <v>0</v>
      </c>
      <c r="AN92" s="1">
        <v>0</v>
      </c>
      <c r="AO92" s="1">
        <v>0</v>
      </c>
      <c r="AP92" s="1">
        <v>0</v>
      </c>
      <c r="AQ92" s="1">
        <v>1</v>
      </c>
      <c r="AR92" s="1">
        <v>1</v>
      </c>
      <c r="AS92" s="12">
        <f>IF(AND(AM92=0,AU92&lt;=2), 1, 0)</f>
        <v>1</v>
      </c>
      <c r="AT92" s="12">
        <v>1</v>
      </c>
      <c r="AU92" s="1">
        <v>2</v>
      </c>
      <c r="AV92" s="1">
        <v>0.5</v>
      </c>
      <c r="AW92" s="1">
        <v>0.5</v>
      </c>
      <c r="AX92" s="6" t="s">
        <v>45</v>
      </c>
      <c r="AY92" s="6" t="s">
        <v>45</v>
      </c>
      <c r="AZ92" s="1">
        <v>0.7</v>
      </c>
      <c r="BA92" s="1">
        <f>16.8-10.5+0.3</f>
        <v>6.6000000000000005</v>
      </c>
      <c r="BB92" s="1">
        <f>93.7+53</f>
        <v>146.69999999999999</v>
      </c>
      <c r="BC92" s="1">
        <v>2</v>
      </c>
      <c r="BD92" s="1">
        <v>2</v>
      </c>
      <c r="BE92" s="1">
        <v>379</v>
      </c>
      <c r="BF92" s="1" t="s">
        <v>1299</v>
      </c>
      <c r="BG92" s="1">
        <v>45</v>
      </c>
      <c r="BH92" s="1">
        <v>45</v>
      </c>
      <c r="BI92" s="1">
        <v>0</v>
      </c>
      <c r="BJ92" s="1">
        <v>0</v>
      </c>
      <c r="BK92" s="1">
        <f>BH92+BI92</f>
        <v>45</v>
      </c>
      <c r="BL92" s="1">
        <v>25</v>
      </c>
      <c r="BM92" s="1">
        <v>1.8</v>
      </c>
      <c r="BN92" s="1" t="s">
        <v>62</v>
      </c>
      <c r="BO92" s="1">
        <v>1</v>
      </c>
      <c r="BP92" s="1">
        <v>1</v>
      </c>
      <c r="BQ92" s="1">
        <v>1</v>
      </c>
      <c r="BR92" s="3">
        <v>43235</v>
      </c>
      <c r="BS92" s="1" t="s">
        <v>109</v>
      </c>
      <c r="BT92" s="12" t="s">
        <v>90</v>
      </c>
      <c r="BU92" s="1">
        <v>2</v>
      </c>
      <c r="BV92" s="1">
        <v>1</v>
      </c>
      <c r="BW92" s="1">
        <v>6.2</v>
      </c>
      <c r="BX92" s="1">
        <v>0.66900000000000004</v>
      </c>
      <c r="BY92" s="1">
        <v>0.23599999999999999</v>
      </c>
      <c r="BZ92" s="1">
        <v>14.1</v>
      </c>
      <c r="CA92" s="1">
        <v>234</v>
      </c>
      <c r="CB92" s="1">
        <v>1.46</v>
      </c>
      <c r="CC92" s="1">
        <v>17.3</v>
      </c>
      <c r="CD92" s="1">
        <v>2.9</v>
      </c>
      <c r="CE92" s="1">
        <v>1</v>
      </c>
      <c r="CF92" s="3">
        <v>43308</v>
      </c>
      <c r="CG92" s="7">
        <f>CF92-AJ92</f>
        <v>38</v>
      </c>
      <c r="CH92" s="1" t="s">
        <v>1298</v>
      </c>
      <c r="CI92" s="12" t="s">
        <v>183</v>
      </c>
      <c r="CJ92" s="17" t="s">
        <v>182</v>
      </c>
      <c r="CK92" s="1" t="s">
        <v>1297</v>
      </c>
      <c r="CL92" s="1" t="s">
        <v>1109</v>
      </c>
      <c r="CM92" s="1">
        <v>0</v>
      </c>
      <c r="CN92" s="12" t="str">
        <f>MID(CK92,4,1)</f>
        <v>2</v>
      </c>
      <c r="CO92" s="1" t="s">
        <v>650</v>
      </c>
      <c r="CP92" s="1">
        <v>2</v>
      </c>
      <c r="CQ92" s="1" t="s">
        <v>1296</v>
      </c>
      <c r="CR92" s="1">
        <v>4.5999999999999996</v>
      </c>
      <c r="CS92" s="1" t="s">
        <v>1014</v>
      </c>
      <c r="CT92" s="1" t="s">
        <v>455</v>
      </c>
      <c r="CU92" s="1" t="s">
        <v>454</v>
      </c>
      <c r="CV92" s="1">
        <v>0</v>
      </c>
      <c r="CW92" s="1">
        <v>7.5</v>
      </c>
      <c r="CX92" s="1">
        <v>4.2</v>
      </c>
      <c r="CY92" s="1">
        <v>0.6</v>
      </c>
      <c r="CZ92" s="1">
        <v>6</v>
      </c>
      <c r="DA92" s="1">
        <v>40</v>
      </c>
      <c r="DB92" s="2">
        <f>CZ92/DA92*100</f>
        <v>15</v>
      </c>
      <c r="DC92" s="1">
        <v>0</v>
      </c>
      <c r="DD92" s="1">
        <v>1</v>
      </c>
      <c r="DE92" s="1">
        <v>0</v>
      </c>
      <c r="DF92" s="1">
        <v>0</v>
      </c>
      <c r="DG92" s="26" t="s">
        <v>1295</v>
      </c>
      <c r="DH92" s="7">
        <v>0</v>
      </c>
      <c r="DI92" s="7">
        <v>0</v>
      </c>
      <c r="DJ92" s="3">
        <v>43473</v>
      </c>
      <c r="DK92" s="1" t="s">
        <v>1119</v>
      </c>
      <c r="DL92" s="12">
        <f>(DJ92-I92)/365.25*12</f>
        <v>8.049281314168379</v>
      </c>
      <c r="DM92" s="1">
        <v>1</v>
      </c>
      <c r="DN92" s="1" t="s">
        <v>1294</v>
      </c>
      <c r="DO92" s="3">
        <v>43353</v>
      </c>
      <c r="DP92" s="6" t="s">
        <v>1293</v>
      </c>
      <c r="DQ92" s="7">
        <v>1</v>
      </c>
      <c r="DR92" s="3">
        <v>43423</v>
      </c>
      <c r="DS92" s="10">
        <f>IF(DQ92=1, (DR92-$I92)/365.25*12, IF(DQ92=0, $DL92, "ERROR"))</f>
        <v>6.406570841889117</v>
      </c>
      <c r="DT92" s="7">
        <v>1</v>
      </c>
      <c r="DU92" s="7">
        <v>1</v>
      </c>
      <c r="DV92" s="7">
        <v>1</v>
      </c>
      <c r="DW92" s="16">
        <f>DU92*(1-DV92)</f>
        <v>0</v>
      </c>
      <c r="DX92" s="16">
        <f>(1-DU92)*DV92</f>
        <v>0</v>
      </c>
      <c r="DY92" s="16">
        <f>DU92*DV92</f>
        <v>1</v>
      </c>
      <c r="DZ92" s="3">
        <v>43423</v>
      </c>
      <c r="EA92" s="10">
        <f>IF(DT92=1, (DZ92-$I92)/365.25*12, IF(DT92=0, $DL92, "ERROR"))</f>
        <v>6.406570841889117</v>
      </c>
      <c r="EB92" s="7">
        <v>1</v>
      </c>
      <c r="EC92" s="7">
        <v>0</v>
      </c>
      <c r="ED92" s="16">
        <f>1-((1-DQ92)*(1-DT92))</f>
        <v>1</v>
      </c>
      <c r="EE92" s="11">
        <f>MIN(DR92,DZ92)</f>
        <v>43423</v>
      </c>
      <c r="EF92" s="1" t="s">
        <v>1292</v>
      </c>
      <c r="EG92" s="7" t="s">
        <v>49</v>
      </c>
      <c r="EH92" s="1" t="s">
        <v>1291</v>
      </c>
      <c r="EI92" s="1">
        <v>1</v>
      </c>
      <c r="EJ92" s="16">
        <f>(1-DQ92)*DX92*(1-EI92)</f>
        <v>0</v>
      </c>
      <c r="EK92" s="3">
        <v>43353</v>
      </c>
      <c r="EL92" s="10">
        <f>IF(EI92=1, (EK92-$I92)/365.25*12, IF(EI92=0, $DL92, "ERROR"))</f>
        <v>4.1067761806981515</v>
      </c>
      <c r="EM92" s="1" t="s">
        <v>1290</v>
      </c>
      <c r="EN92" s="7">
        <v>0</v>
      </c>
      <c r="EO92" s="7">
        <v>0</v>
      </c>
      <c r="EP92" s="7">
        <v>0</v>
      </c>
      <c r="EQ92" s="7">
        <v>0</v>
      </c>
      <c r="ER92" s="7">
        <v>0</v>
      </c>
      <c r="ES92" s="7">
        <v>1</v>
      </c>
      <c r="ET92" s="7">
        <v>0</v>
      </c>
      <c r="EU92" s="7">
        <v>0</v>
      </c>
      <c r="EV92" s="7">
        <v>0</v>
      </c>
      <c r="EW92" s="1">
        <f>1-((1-EP92)*(1-ET92)*(1-EU92)*(1-EV92))</f>
        <v>0</v>
      </c>
      <c r="EX92" s="7">
        <v>1</v>
      </c>
      <c r="EY92" s="7">
        <v>1</v>
      </c>
      <c r="EZ92" s="7">
        <v>1</v>
      </c>
      <c r="FA92" s="7">
        <v>1</v>
      </c>
      <c r="FB92" s="1" t="s">
        <v>45</v>
      </c>
      <c r="FC92" s="1">
        <v>1</v>
      </c>
      <c r="FD92" s="1">
        <v>1</v>
      </c>
      <c r="FF92" s="3">
        <v>43480</v>
      </c>
      <c r="FG92" s="3">
        <f>IF(FC92=1, FF92, IF(FD92=1, 44348, DJ92))</f>
        <v>43480</v>
      </c>
      <c r="FH92" s="13">
        <f>(FG92-I92)/365.25*12</f>
        <v>8.2792607802874745</v>
      </c>
      <c r="FI92" s="20">
        <f>IF(DM92=1, (DO92-I92)/365.25*12, IF(DM92=0, DL92, "ERROR"))</f>
        <v>4.1067761806981515</v>
      </c>
      <c r="FJ92" s="14">
        <f>IF(OR(DM92,FC92), 1, 0)</f>
        <v>1</v>
      </c>
      <c r="FK92" s="11">
        <f>IF(DM92=1,IF(FC92=1,MIN(DO92,FF92),DO92),IF(FC92=1,FF92,DJ92))</f>
        <v>43353</v>
      </c>
      <c r="FL92" s="13">
        <f>(FK92-$I92)/365.25*12</f>
        <v>4.1067761806981515</v>
      </c>
      <c r="FM92" s="14">
        <f>IF(OR(ED92,FC92), 1, 0)</f>
        <v>1</v>
      </c>
      <c r="FN92" s="11">
        <f>IF(ED92=1,IF(FC92=1,MIN(EE92,FF92),EE92),IF(FC92=1,FF92,DJ92))</f>
        <v>43423</v>
      </c>
      <c r="FO92" s="13">
        <f>(FN92-$I92)/365.25*12</f>
        <v>6.406570841889117</v>
      </c>
      <c r="FP92" s="14">
        <f>IF(OR(EI92,FC92), 1, 0)</f>
        <v>1</v>
      </c>
      <c r="FQ92" s="11">
        <f>IF(EI92=1,IF(FC92=1,MIN(EK92,FF92),EK92),IF(FC92=1,FF92,DJ92))</f>
        <v>43353</v>
      </c>
      <c r="FR92" s="13">
        <f>(FQ92-$I92)/365.25*12</f>
        <v>4.1067761806981515</v>
      </c>
      <c r="FU92" s="1">
        <v>0</v>
      </c>
      <c r="FV92" s="1">
        <v>0</v>
      </c>
      <c r="FW92" s="1">
        <v>0</v>
      </c>
      <c r="FX92" s="1">
        <v>0</v>
      </c>
      <c r="GA92" s="1">
        <v>0.5</v>
      </c>
      <c r="GB92" s="1">
        <v>0.5</v>
      </c>
      <c r="GC92" s="1">
        <v>100.7457</v>
      </c>
      <c r="GD92" s="1">
        <v>29.1494</v>
      </c>
      <c r="GE92" s="25">
        <v>10</v>
      </c>
      <c r="GF92" s="25">
        <v>5</v>
      </c>
      <c r="GG92" s="1">
        <v>282.5829</v>
      </c>
      <c r="GH92" s="24">
        <v>259.3347</v>
      </c>
    </row>
    <row r="93" spans="1:190" ht="12.75" customHeight="1">
      <c r="A93" s="1" t="s">
        <v>1257</v>
      </c>
      <c r="B93" s="15" t="s">
        <v>1256</v>
      </c>
      <c r="C93" s="1">
        <v>41375060</v>
      </c>
      <c r="D93" s="1">
        <v>0</v>
      </c>
      <c r="E93" s="1">
        <v>0</v>
      </c>
      <c r="F93" s="1">
        <v>1</v>
      </c>
      <c r="G93" s="12">
        <v>1</v>
      </c>
      <c r="I93" s="3">
        <v>40616</v>
      </c>
      <c r="J93" s="3">
        <v>40592</v>
      </c>
      <c r="K93" s="3">
        <v>13227</v>
      </c>
      <c r="L93" s="5">
        <f>(DAYS360(K93,I93))/365</f>
        <v>73.961643835616442</v>
      </c>
      <c r="M93" s="9" t="s">
        <v>5</v>
      </c>
      <c r="N93" s="1">
        <v>0</v>
      </c>
      <c r="O93" s="1">
        <v>0</v>
      </c>
      <c r="P93" s="1" t="s">
        <v>161</v>
      </c>
      <c r="Q93" s="1">
        <v>0</v>
      </c>
      <c r="R93" s="1" t="s">
        <v>18</v>
      </c>
      <c r="S93" s="1">
        <v>35</v>
      </c>
      <c r="T93" s="1" t="s">
        <v>67</v>
      </c>
      <c r="U93" s="1">
        <v>0</v>
      </c>
      <c r="V93" s="1">
        <v>0</v>
      </c>
      <c r="W93" s="1">
        <v>1</v>
      </c>
      <c r="X93" s="1" t="s">
        <v>296</v>
      </c>
      <c r="Y93" s="1">
        <v>2</v>
      </c>
      <c r="Z93" s="1">
        <v>1</v>
      </c>
      <c r="AA93" s="1" t="s">
        <v>65</v>
      </c>
      <c r="AC93" s="1">
        <v>2</v>
      </c>
      <c r="AD93" s="1" t="s">
        <v>1255</v>
      </c>
      <c r="AE93" s="1" t="s">
        <v>148</v>
      </c>
      <c r="AF93" s="1">
        <v>0</v>
      </c>
      <c r="AG93" s="1">
        <v>0</v>
      </c>
      <c r="AH93" s="1">
        <v>0</v>
      </c>
      <c r="AI93" s="3">
        <v>40616</v>
      </c>
      <c r="AJ93" s="3">
        <v>40653</v>
      </c>
      <c r="AK93" s="6" t="s">
        <v>1254</v>
      </c>
      <c r="AL93" s="6" t="s">
        <v>123</v>
      </c>
      <c r="AM93" s="1">
        <v>0</v>
      </c>
      <c r="AN93" s="1">
        <v>0</v>
      </c>
      <c r="AO93" s="1">
        <v>0</v>
      </c>
      <c r="AP93" s="1">
        <v>0</v>
      </c>
      <c r="AQ93" s="1">
        <v>0</v>
      </c>
      <c r="AR93" s="1">
        <v>0</v>
      </c>
      <c r="AS93" s="12">
        <f>IF(AND(AM93=0,AU93&lt;=2), 1, 0)</f>
        <v>0</v>
      </c>
      <c r="AT93" s="12">
        <v>0</v>
      </c>
      <c r="AU93" s="1">
        <v>4.5</v>
      </c>
      <c r="AV93" s="1">
        <v>1</v>
      </c>
      <c r="AW93" s="1"/>
      <c r="AX93" s="1">
        <v>1</v>
      </c>
      <c r="AY93" s="1">
        <v>1</v>
      </c>
      <c r="AZ93" s="1">
        <v>0.5</v>
      </c>
      <c r="BA93" s="1">
        <v>5.5</v>
      </c>
      <c r="BB93" s="1">
        <v>145.19999999999999</v>
      </c>
      <c r="BC93" s="1">
        <f>10.5-2.5+0.5</f>
        <v>8.5</v>
      </c>
      <c r="BD93" s="1">
        <f>6-3.5+0.5</f>
        <v>3</v>
      </c>
      <c r="BE93" s="1">
        <v>315</v>
      </c>
      <c r="BF93" s="1" t="s">
        <v>123</v>
      </c>
      <c r="BG93" s="1" t="s">
        <v>1253</v>
      </c>
      <c r="BH93" s="1">
        <v>45</v>
      </c>
      <c r="BI93" s="1">
        <v>5.4</v>
      </c>
      <c r="BJ93" s="1">
        <v>1</v>
      </c>
      <c r="BK93" s="1">
        <f>BH93+BI93</f>
        <v>50.4</v>
      </c>
      <c r="BL93" s="1">
        <v>28</v>
      </c>
      <c r="BM93" s="1">
        <v>1.8</v>
      </c>
      <c r="BN93" s="1" t="s">
        <v>110</v>
      </c>
      <c r="BO93" s="1">
        <v>0</v>
      </c>
      <c r="BP93" s="1">
        <v>1</v>
      </c>
      <c r="BQ93" s="1">
        <v>1</v>
      </c>
      <c r="BR93" s="3">
        <v>40616</v>
      </c>
      <c r="BS93" s="1" t="s">
        <v>109</v>
      </c>
      <c r="BT93" s="12" t="s">
        <v>90</v>
      </c>
      <c r="BU93" s="1">
        <v>2</v>
      </c>
      <c r="BV93" s="1">
        <v>1</v>
      </c>
      <c r="BW93" s="1">
        <v>6.18</v>
      </c>
      <c r="BX93" s="1">
        <v>0.65500000000000003</v>
      </c>
      <c r="BY93" s="1">
        <v>0.26200000000000001</v>
      </c>
      <c r="BZ93" s="1">
        <v>15</v>
      </c>
      <c r="CA93" s="1">
        <v>169</v>
      </c>
      <c r="CB93" s="1">
        <v>1.6</v>
      </c>
      <c r="CC93" s="1">
        <v>5</v>
      </c>
      <c r="CD93" s="1">
        <v>6.2</v>
      </c>
      <c r="CE93" s="1">
        <v>1</v>
      </c>
      <c r="CF93" s="3">
        <v>40687</v>
      </c>
      <c r="CG93" s="7">
        <f>CF93-AJ93</f>
        <v>34</v>
      </c>
      <c r="CH93" s="1" t="s">
        <v>1252</v>
      </c>
      <c r="CI93" s="17" t="s">
        <v>460</v>
      </c>
      <c r="CJ93" s="1" t="s">
        <v>515</v>
      </c>
      <c r="CK93" s="1" t="s">
        <v>1251</v>
      </c>
      <c r="CL93" s="1" t="s">
        <v>280</v>
      </c>
      <c r="CM93" s="1">
        <v>0</v>
      </c>
      <c r="CN93" s="12" t="str">
        <f>MID(CK93,4,1)</f>
        <v>3</v>
      </c>
      <c r="CO93" s="1" t="s">
        <v>45</v>
      </c>
      <c r="CP93" s="1" t="s">
        <v>45</v>
      </c>
      <c r="CQ93" s="1" t="s">
        <v>1250</v>
      </c>
      <c r="CR93" s="1">
        <v>5</v>
      </c>
      <c r="CS93" s="1" t="s">
        <v>1209</v>
      </c>
      <c r="CT93" s="1" t="s">
        <v>455</v>
      </c>
      <c r="CU93" s="1" t="s">
        <v>472</v>
      </c>
      <c r="CV93" s="1">
        <v>0</v>
      </c>
      <c r="CW93" s="1">
        <v>3.5</v>
      </c>
      <c r="CX93" s="1">
        <v>5</v>
      </c>
      <c r="CY93" s="1">
        <v>1.4999999999999999E-2</v>
      </c>
      <c r="CZ93" s="1">
        <v>7</v>
      </c>
      <c r="DA93" s="1">
        <v>37</v>
      </c>
      <c r="DB93" s="2">
        <f>CZ93/DA93*100</f>
        <v>18.918918918918919</v>
      </c>
      <c r="DC93" s="1">
        <v>1</v>
      </c>
      <c r="DD93" s="1">
        <v>0</v>
      </c>
      <c r="DE93" s="1">
        <v>1</v>
      </c>
      <c r="DF93" s="1">
        <v>0</v>
      </c>
      <c r="DG93" s="26" t="s">
        <v>1249</v>
      </c>
      <c r="DH93" s="7">
        <v>0</v>
      </c>
      <c r="DI93" s="7">
        <v>0</v>
      </c>
      <c r="DJ93" s="3">
        <v>40813</v>
      </c>
      <c r="DK93" s="1" t="s">
        <v>1248</v>
      </c>
      <c r="DL93" s="12">
        <f>(DJ93-I93)/365.25*12</f>
        <v>6.4722792607802866</v>
      </c>
      <c r="DM93" s="1">
        <v>1</v>
      </c>
      <c r="DN93" s="1" t="s">
        <v>1247</v>
      </c>
      <c r="DO93" s="3">
        <v>40806</v>
      </c>
      <c r="DP93" s="6" t="s">
        <v>289</v>
      </c>
      <c r="DQ93" s="7">
        <v>0</v>
      </c>
      <c r="DR93" s="3" t="s">
        <v>45</v>
      </c>
      <c r="DS93" s="10">
        <f>IF(DQ93=1, (DR93-$I93)/365.25*12, IF(DQ93=0, $DL93, "ERROR"))</f>
        <v>6.4722792607802866</v>
      </c>
      <c r="DT93" s="7">
        <v>1</v>
      </c>
      <c r="DU93" s="7">
        <v>1</v>
      </c>
      <c r="DV93" s="7">
        <v>1</v>
      </c>
      <c r="DW93" s="16">
        <f>DU93*(1-DV93)</f>
        <v>0</v>
      </c>
      <c r="DX93" s="16">
        <f>(1-DU93)*DV93</f>
        <v>0</v>
      </c>
      <c r="DY93" s="16">
        <f>DU93*DV93</f>
        <v>1</v>
      </c>
      <c r="DZ93" s="3">
        <v>40806</v>
      </c>
      <c r="EA93" s="10">
        <f>IF(DT93=1, (DZ93-$I93)/365.25*12, IF(DT93=0, $DL93, "ERROR"))</f>
        <v>6.2422997946611911</v>
      </c>
      <c r="EB93" s="7">
        <v>1</v>
      </c>
      <c r="EC93" s="7">
        <v>1</v>
      </c>
      <c r="ED93" s="16">
        <f>1-((1-DQ93)*(1-DT93))</f>
        <v>1</v>
      </c>
      <c r="EE93" s="11">
        <f>MIN(DR93,DZ93)</f>
        <v>40806</v>
      </c>
      <c r="EF93" s="1" t="s">
        <v>45</v>
      </c>
      <c r="EG93" s="7" t="s">
        <v>45</v>
      </c>
      <c r="EH93" s="1" t="s">
        <v>45</v>
      </c>
      <c r="EI93" s="1">
        <v>1</v>
      </c>
      <c r="EJ93" s="16">
        <f>(1-DQ93)*DX93*(1-EI93)</f>
        <v>0</v>
      </c>
      <c r="EK93" s="3">
        <v>40806</v>
      </c>
      <c r="EL93" s="10">
        <f>IF(EI93=1, (EK93-$I93)/365.25*12, IF(EI93=0, $DL93, "ERROR"))</f>
        <v>6.2422997946611911</v>
      </c>
      <c r="EM93" s="1" t="s">
        <v>1246</v>
      </c>
      <c r="EN93" s="7">
        <v>0</v>
      </c>
      <c r="EO93" s="7">
        <v>0</v>
      </c>
      <c r="EP93" s="7">
        <v>0</v>
      </c>
      <c r="EQ93" s="7">
        <v>0</v>
      </c>
      <c r="ER93" s="7">
        <v>0</v>
      </c>
      <c r="ES93" s="7">
        <v>1</v>
      </c>
      <c r="ET93" s="7">
        <v>0</v>
      </c>
      <c r="EU93" s="7">
        <v>0</v>
      </c>
      <c r="EV93" s="7">
        <v>0</v>
      </c>
      <c r="EW93" s="1">
        <f>1-((1-EP93)*(1-ET93)*(1-EU93)*(1-EV93))</f>
        <v>0</v>
      </c>
      <c r="EX93" s="7">
        <v>1</v>
      </c>
      <c r="EY93" s="7">
        <v>1</v>
      </c>
      <c r="EZ93" s="7">
        <v>1</v>
      </c>
      <c r="FA93" s="7">
        <v>0</v>
      </c>
      <c r="FB93" s="1" t="s">
        <v>45</v>
      </c>
      <c r="FC93" s="1">
        <v>1</v>
      </c>
      <c r="FD93" s="1">
        <v>1</v>
      </c>
      <c r="FF93" s="3">
        <v>40925</v>
      </c>
      <c r="FG93" s="3">
        <f>IF(FC93=1, FF93, IF(FD93=1, 44348, DJ93))</f>
        <v>40925</v>
      </c>
      <c r="FH93" s="13">
        <f>(FG93-I93)/365.25*12</f>
        <v>10.151950718685832</v>
      </c>
      <c r="FI93" s="20">
        <f>IF(DM93=1, (DO93-I93)/365.25*12, IF(DM93=0, DL93, "ERROR"))</f>
        <v>6.2422997946611911</v>
      </c>
      <c r="FJ93" s="14">
        <f>IF(OR(DM93,FC93), 1, 0)</f>
        <v>1</v>
      </c>
      <c r="FK93" s="11">
        <f>IF(DM93=1,IF(FC93=1,MIN(DO93,FF93),DO93),IF(FC93=1,FF93,DJ93))</f>
        <v>40806</v>
      </c>
      <c r="FL93" s="13">
        <f>(FK93-$I93)/365.25*12</f>
        <v>6.2422997946611911</v>
      </c>
      <c r="FM93" s="14">
        <f>IF(OR(ED93,FC93), 1, 0)</f>
        <v>1</v>
      </c>
      <c r="FN93" s="11">
        <f>IF(ED93=1,IF(FC93=1,MIN(EE93,FF93),EE93),IF(FC93=1,FF93,DJ93))</f>
        <v>40806</v>
      </c>
      <c r="FO93" s="13">
        <f>(FN93-$I93)/365.25*12</f>
        <v>6.2422997946611911</v>
      </c>
      <c r="FP93" s="14">
        <f>IF(OR(EI93,FC93), 1, 0)</f>
        <v>1</v>
      </c>
      <c r="FQ93" s="11">
        <f>IF(EI93=1,IF(FC93=1,MIN(EK93,FF93),EK93),IF(FC93=1,FF93,DJ93))</f>
        <v>40806</v>
      </c>
      <c r="FR93" s="13">
        <f>(FQ93-$I93)/365.25*12</f>
        <v>6.2422997946611911</v>
      </c>
      <c r="FU93" s="1">
        <v>0</v>
      </c>
      <c r="FV93" s="1">
        <v>0</v>
      </c>
      <c r="FW93" s="1">
        <v>0</v>
      </c>
      <c r="FX93" s="1">
        <v>0</v>
      </c>
      <c r="GA93" s="1">
        <v>0</v>
      </c>
      <c r="GB93" s="1">
        <v>0</v>
      </c>
      <c r="GC93" s="1">
        <v>627.92259999999999</v>
      </c>
      <c r="GD93" s="1">
        <v>231.33519999999999</v>
      </c>
      <c r="GE93" s="25">
        <v>5</v>
      </c>
      <c r="GF93" s="25">
        <v>5</v>
      </c>
      <c r="GG93" s="1">
        <v>199.13059999999999</v>
      </c>
      <c r="GH93" s="24">
        <v>82.6738</v>
      </c>
    </row>
    <row r="94" spans="1:190" ht="12.75" customHeight="1">
      <c r="A94" s="1" t="s">
        <v>1245</v>
      </c>
      <c r="B94" s="15" t="s">
        <v>1244</v>
      </c>
      <c r="C94" s="1">
        <v>41480094</v>
      </c>
      <c r="D94" s="1">
        <v>0</v>
      </c>
      <c r="E94" s="1">
        <v>0</v>
      </c>
      <c r="F94" s="1">
        <v>1</v>
      </c>
      <c r="G94" s="12">
        <v>1</v>
      </c>
      <c r="I94" s="3">
        <v>40626</v>
      </c>
      <c r="J94" s="3">
        <v>40610</v>
      </c>
      <c r="K94" s="3">
        <v>17263</v>
      </c>
      <c r="L94" s="5">
        <f>(DAYS360(K94,I94))/365</f>
        <v>63.090410958904108</v>
      </c>
      <c r="M94" s="1" t="s">
        <v>5</v>
      </c>
      <c r="N94" s="1">
        <v>1</v>
      </c>
      <c r="O94" s="1">
        <v>0</v>
      </c>
      <c r="P94" s="1" t="s">
        <v>69</v>
      </c>
      <c r="Q94" s="1">
        <v>1</v>
      </c>
      <c r="R94" s="1" t="s">
        <v>18</v>
      </c>
      <c r="S94" s="1" t="s">
        <v>1243</v>
      </c>
      <c r="T94" s="1" t="s">
        <v>67</v>
      </c>
      <c r="U94" s="1">
        <v>0</v>
      </c>
      <c r="V94" s="1">
        <v>0</v>
      </c>
      <c r="W94" s="1">
        <v>1</v>
      </c>
      <c r="X94" s="1" t="s">
        <v>117</v>
      </c>
      <c r="Y94" s="1">
        <v>3</v>
      </c>
      <c r="Z94" s="1">
        <v>1</v>
      </c>
      <c r="AA94" s="1" t="s">
        <v>116</v>
      </c>
      <c r="AC94" s="1">
        <v>3</v>
      </c>
      <c r="AD94" s="1" t="s">
        <v>1242</v>
      </c>
      <c r="AE94" s="1" t="s">
        <v>125</v>
      </c>
      <c r="AF94" s="1">
        <v>0</v>
      </c>
      <c r="AG94" s="1">
        <v>0</v>
      </c>
      <c r="AH94" s="1">
        <v>0</v>
      </c>
      <c r="AI94" s="3">
        <v>40626</v>
      </c>
      <c r="AJ94" s="3">
        <v>40660</v>
      </c>
      <c r="AK94" s="6" t="s">
        <v>1241</v>
      </c>
      <c r="AL94" s="6" t="s">
        <v>250</v>
      </c>
      <c r="AM94" s="1">
        <v>0</v>
      </c>
      <c r="AN94" s="1">
        <v>0</v>
      </c>
      <c r="AO94" s="1">
        <v>0</v>
      </c>
      <c r="AP94" s="1">
        <v>0</v>
      </c>
      <c r="AQ94" s="1">
        <v>1</v>
      </c>
      <c r="AR94" s="1">
        <v>0</v>
      </c>
      <c r="AS94" s="1">
        <v>0</v>
      </c>
      <c r="AT94" s="1">
        <v>0</v>
      </c>
      <c r="AU94" s="6" t="s">
        <v>1240</v>
      </c>
      <c r="AV94" s="1">
        <v>1</v>
      </c>
      <c r="AW94" s="1"/>
      <c r="AX94" s="6" t="s">
        <v>45</v>
      </c>
      <c r="AY94" s="6" t="s">
        <v>45</v>
      </c>
      <c r="AZ94" s="1">
        <v>1</v>
      </c>
      <c r="BA94" s="1">
        <f>5.5+2+0.5</f>
        <v>8</v>
      </c>
      <c r="BB94" s="1">
        <v>294.3</v>
      </c>
      <c r="BC94" s="1">
        <f>10.5-6+0.5</f>
        <v>5</v>
      </c>
      <c r="BD94" s="1">
        <v>2</v>
      </c>
      <c r="BE94" s="1">
        <v>701.1</v>
      </c>
      <c r="BF94" s="1" t="s">
        <v>1239</v>
      </c>
      <c r="BG94" s="1">
        <v>45</v>
      </c>
      <c r="BH94" s="1">
        <v>45</v>
      </c>
      <c r="BI94" s="1">
        <v>0</v>
      </c>
      <c r="BJ94" s="1">
        <v>0</v>
      </c>
      <c r="BK94" s="1">
        <f>BH94+BI94</f>
        <v>45</v>
      </c>
      <c r="BL94" s="1">
        <v>25</v>
      </c>
      <c r="BM94" s="1">
        <v>1.8</v>
      </c>
      <c r="BN94" s="1" t="s">
        <v>110</v>
      </c>
      <c r="BO94" s="1">
        <v>0</v>
      </c>
      <c r="BP94" s="1">
        <v>1</v>
      </c>
      <c r="BQ94" s="1">
        <v>1</v>
      </c>
      <c r="BR94" s="3">
        <v>40626</v>
      </c>
      <c r="BS94" s="1" t="s">
        <v>109</v>
      </c>
      <c r="BT94" s="12" t="s">
        <v>90</v>
      </c>
      <c r="BU94" s="1">
        <v>2</v>
      </c>
      <c r="BV94" s="1">
        <v>1</v>
      </c>
      <c r="BW94" s="1">
        <v>6.1</v>
      </c>
      <c r="BX94" s="1">
        <v>0.57099999999999995</v>
      </c>
      <c r="BY94" s="1">
        <v>0.27400000000000002</v>
      </c>
      <c r="BZ94" s="1">
        <v>10.5</v>
      </c>
      <c r="CA94" s="1">
        <v>388</v>
      </c>
      <c r="CB94" s="1">
        <v>1.71</v>
      </c>
      <c r="CC94" s="1">
        <v>21.9</v>
      </c>
      <c r="CD94" s="1">
        <v>12.4</v>
      </c>
      <c r="CE94" s="1">
        <v>1</v>
      </c>
      <c r="CF94" s="3">
        <v>40686</v>
      </c>
      <c r="CG94" s="7">
        <f>CF94-AJ94</f>
        <v>26</v>
      </c>
      <c r="CH94" s="1" t="s">
        <v>1238</v>
      </c>
      <c r="CI94" s="17" t="s">
        <v>460</v>
      </c>
      <c r="CJ94" s="1" t="s">
        <v>515</v>
      </c>
      <c r="CK94" s="1" t="s">
        <v>1110</v>
      </c>
      <c r="CL94" s="1" t="s">
        <v>1109</v>
      </c>
      <c r="CM94" s="1">
        <v>0</v>
      </c>
      <c r="CN94" s="12" t="str">
        <f>MID(CK94,4,1)</f>
        <v>3</v>
      </c>
      <c r="CO94" s="1" t="s">
        <v>45</v>
      </c>
      <c r="CP94" s="1" t="s">
        <v>45</v>
      </c>
      <c r="CQ94" s="1" t="s">
        <v>1237</v>
      </c>
      <c r="CR94" s="1">
        <v>3</v>
      </c>
      <c r="CS94" s="1" t="s">
        <v>1002</v>
      </c>
      <c r="CT94" s="1" t="s">
        <v>511</v>
      </c>
      <c r="CU94" s="1" t="s">
        <v>472</v>
      </c>
      <c r="CV94" s="1">
        <v>0</v>
      </c>
      <c r="CW94" s="1">
        <v>7.5</v>
      </c>
      <c r="CX94" s="1">
        <v>2.8</v>
      </c>
      <c r="CY94" s="1">
        <v>0.2</v>
      </c>
      <c r="CZ94" s="1">
        <v>1</v>
      </c>
      <c r="DA94" s="1">
        <v>36</v>
      </c>
      <c r="DB94" s="2">
        <f>CZ94/DA94*100</f>
        <v>2.7777777777777777</v>
      </c>
      <c r="DC94" s="1">
        <v>1</v>
      </c>
      <c r="DD94" s="1">
        <v>0</v>
      </c>
      <c r="DE94" s="1">
        <v>0</v>
      </c>
      <c r="DF94" s="1">
        <v>0</v>
      </c>
      <c r="DG94" s="26" t="s">
        <v>1236</v>
      </c>
      <c r="DH94" s="7">
        <v>0</v>
      </c>
      <c r="DI94" s="7">
        <v>0</v>
      </c>
      <c r="DJ94" s="3">
        <v>41989</v>
      </c>
      <c r="DK94" s="1" t="s">
        <v>75</v>
      </c>
      <c r="DL94" s="12">
        <f>(DJ94-I94)/365.25*12</f>
        <v>44.780287474332653</v>
      </c>
      <c r="DM94" s="1">
        <v>0</v>
      </c>
      <c r="DN94" s="1" t="s">
        <v>45</v>
      </c>
      <c r="DO94" s="1" t="s">
        <v>45</v>
      </c>
      <c r="DP94" s="6" t="s">
        <v>45</v>
      </c>
      <c r="DQ94" s="7">
        <v>0</v>
      </c>
      <c r="DR94" s="3" t="s">
        <v>45</v>
      </c>
      <c r="DS94" s="10">
        <f>IF(DQ94=1, (DR94-$I94)/365.25*12, IF(DQ94=0, $DL94, "ERROR"))</f>
        <v>44.780287474332653</v>
      </c>
      <c r="DT94" s="7">
        <v>0</v>
      </c>
      <c r="DU94" s="7">
        <v>0</v>
      </c>
      <c r="DV94" s="7">
        <v>0</v>
      </c>
      <c r="DW94" s="16">
        <f>DU94*(1-DV94)</f>
        <v>0</v>
      </c>
      <c r="DX94" s="16">
        <f>(1-DU94)*DV94</f>
        <v>0</v>
      </c>
      <c r="DY94" s="16">
        <f>DU94*DV94</f>
        <v>0</v>
      </c>
      <c r="DZ94" s="3" t="s">
        <v>45</v>
      </c>
      <c r="EA94" s="10">
        <f>IF(DT94=1, (DZ94-$I94)/365.25*12, IF(DT94=0, $DL94, "ERROR"))</f>
        <v>44.780287474332653</v>
      </c>
      <c r="EB94" s="7">
        <v>0</v>
      </c>
      <c r="EC94" s="7">
        <v>0</v>
      </c>
      <c r="ED94" s="16">
        <f>1-((1-DQ94)*(1-DT94))</f>
        <v>0</v>
      </c>
      <c r="EE94" s="11" t="s">
        <v>45</v>
      </c>
      <c r="EF94" s="1" t="s">
        <v>45</v>
      </c>
      <c r="EG94" s="7" t="s">
        <v>45</v>
      </c>
      <c r="EH94" s="1" t="s">
        <v>45</v>
      </c>
      <c r="EI94" s="1">
        <v>0</v>
      </c>
      <c r="EJ94" s="16">
        <f>(1-DQ94)*DX94*(1-EI94)</f>
        <v>0</v>
      </c>
      <c r="EK94" s="1" t="s">
        <v>45</v>
      </c>
      <c r="EL94" s="10">
        <f>IF(EI94=1, (EK94-$I94)/365.25*12, IF(EI94=0, $DL94, "ERROR"))</f>
        <v>44.780287474332653</v>
      </c>
      <c r="EM94" s="1" t="s">
        <v>45</v>
      </c>
      <c r="EN94" s="1">
        <v>0</v>
      </c>
      <c r="EO94" s="1">
        <v>0</v>
      </c>
      <c r="EP94" s="1">
        <v>0</v>
      </c>
      <c r="EQ94" s="1">
        <v>0</v>
      </c>
      <c r="ER94" s="1">
        <v>0</v>
      </c>
      <c r="ES94" s="1">
        <v>0</v>
      </c>
      <c r="ET94" s="1">
        <v>0</v>
      </c>
      <c r="EU94" s="1">
        <v>0</v>
      </c>
      <c r="EV94" s="1">
        <v>0</v>
      </c>
      <c r="EW94" s="1">
        <f>1-((1-EP94)*(1-ET94)*(1-EU94)*(1-EV94))</f>
        <v>0</v>
      </c>
      <c r="EX94" s="7">
        <v>0</v>
      </c>
      <c r="EY94" s="7">
        <v>0</v>
      </c>
      <c r="EZ94" s="7">
        <v>0</v>
      </c>
      <c r="FA94" s="7">
        <v>0</v>
      </c>
      <c r="FB94" s="1" t="s">
        <v>45</v>
      </c>
      <c r="FC94" s="1">
        <v>0</v>
      </c>
      <c r="FD94" s="1">
        <v>1</v>
      </c>
      <c r="FF94" s="1" t="s">
        <v>45</v>
      </c>
      <c r="FG94" s="3">
        <f>IF(FC94=1, FF94, IF(FD94=1, 44348, DJ94))</f>
        <v>44348</v>
      </c>
      <c r="FH94" s="13">
        <f>(FG94-I94)/365.25*12</f>
        <v>122.28336755646816</v>
      </c>
      <c r="FI94" s="20">
        <f>IF(DM94=1, (DO94-I94)/365.25*12, IF(DM94=0, DL94, "ERROR"))</f>
        <v>44.780287474332653</v>
      </c>
      <c r="FJ94" s="14">
        <f>IF(OR(DM94,FC94), 1, 0)</f>
        <v>0</v>
      </c>
      <c r="FK94" s="11">
        <f>IF(DM94=1,IF(FC94=1,MIN(DO94,FF94),DO94),IF(FC94=1,FF94,DJ94))</f>
        <v>41989</v>
      </c>
      <c r="FL94" s="13">
        <f>(FK94-$I94)/365.25*12</f>
        <v>44.780287474332653</v>
      </c>
      <c r="FM94" s="14">
        <f>IF(OR(ED94,FC94), 1, 0)</f>
        <v>0</v>
      </c>
      <c r="FN94" s="11">
        <f>IF(ED94=1,IF(FC94=1,MIN(EE94,FF94),EE94),IF(FC94=1,FF94,DJ94))</f>
        <v>41989</v>
      </c>
      <c r="FO94" s="13">
        <f>(FN94-$I94)/365.25*12</f>
        <v>44.780287474332653</v>
      </c>
      <c r="FP94" s="14">
        <f>IF(OR(EI94,FC94), 1, 0)</f>
        <v>0</v>
      </c>
      <c r="FQ94" s="11">
        <f>IF(EI94=1,IF(FC94=1,MIN(EK94,FF94),EK94),IF(FC94=1,FF94,DJ94))</f>
        <v>41989</v>
      </c>
      <c r="FR94" s="13">
        <f>(FQ94-$I94)/365.25*12</f>
        <v>44.780287474332653</v>
      </c>
      <c r="FU94" s="1">
        <v>0</v>
      </c>
      <c r="FV94" s="1">
        <v>0</v>
      </c>
      <c r="FW94" s="1">
        <v>0</v>
      </c>
      <c r="FX94" s="1">
        <v>0</v>
      </c>
      <c r="GA94" s="1">
        <v>10</v>
      </c>
      <c r="GB94" s="1">
        <v>5</v>
      </c>
      <c r="GC94" s="1">
        <v>295.23590000000002</v>
      </c>
      <c r="GD94" s="1">
        <v>119.26349999999999</v>
      </c>
      <c r="GE94" s="25">
        <v>0.5</v>
      </c>
      <c r="GF94" s="25">
        <v>0.5</v>
      </c>
      <c r="GG94" s="1">
        <v>225.97479999999999</v>
      </c>
      <c r="GH94" s="24">
        <v>110.07559999999999</v>
      </c>
    </row>
    <row r="95" spans="1:190" ht="12.75" customHeight="1">
      <c r="A95" s="1" t="s">
        <v>848</v>
      </c>
      <c r="B95" s="1" t="s">
        <v>847</v>
      </c>
      <c r="C95" s="1">
        <v>41773239</v>
      </c>
      <c r="D95" s="1">
        <v>1</v>
      </c>
      <c r="E95" s="1">
        <v>0</v>
      </c>
      <c r="F95" s="1">
        <v>1</v>
      </c>
      <c r="G95" s="1">
        <v>1</v>
      </c>
      <c r="H95" s="1" t="s">
        <v>846</v>
      </c>
      <c r="I95" s="3">
        <v>44250</v>
      </c>
      <c r="J95" s="3">
        <v>44222</v>
      </c>
      <c r="K95" s="3">
        <v>19598</v>
      </c>
      <c r="L95" s="5">
        <f>(DAYS360(K95,I95))/365</f>
        <v>66.564383561643837</v>
      </c>
      <c r="M95" s="1" t="s">
        <v>1</v>
      </c>
      <c r="N95" s="1">
        <v>1</v>
      </c>
      <c r="O95" s="1">
        <v>0</v>
      </c>
      <c r="P95" s="1" t="s">
        <v>69</v>
      </c>
      <c r="Q95" s="1">
        <v>1</v>
      </c>
      <c r="R95" s="1" t="s">
        <v>18</v>
      </c>
      <c r="S95" s="1" t="s">
        <v>845</v>
      </c>
      <c r="T95" s="1" t="s">
        <v>80</v>
      </c>
      <c r="U95" s="1">
        <v>0</v>
      </c>
      <c r="V95" s="1">
        <v>1</v>
      </c>
      <c r="W95" s="1">
        <v>0</v>
      </c>
      <c r="X95" s="1" t="s">
        <v>637</v>
      </c>
      <c r="Y95" s="1">
        <v>3</v>
      </c>
      <c r="Z95" s="1">
        <v>0</v>
      </c>
      <c r="AA95" s="1" t="s">
        <v>65</v>
      </c>
      <c r="AC95" s="1">
        <v>2</v>
      </c>
      <c r="AD95" s="1" t="s">
        <v>64</v>
      </c>
      <c r="AE95" s="1" t="s">
        <v>64</v>
      </c>
      <c r="AF95" s="1">
        <v>0</v>
      </c>
      <c r="AG95" s="1">
        <v>0</v>
      </c>
      <c r="AH95" s="1">
        <v>0</v>
      </c>
      <c r="AI95" s="3">
        <v>44250</v>
      </c>
      <c r="AJ95" s="3">
        <v>44280</v>
      </c>
      <c r="BA95" s="1">
        <v>5</v>
      </c>
      <c r="BG95" s="1">
        <v>44</v>
      </c>
      <c r="BH95" s="1">
        <v>22</v>
      </c>
      <c r="BI95" s="1">
        <v>0</v>
      </c>
      <c r="BJ95" s="1">
        <v>0</v>
      </c>
      <c r="BK95" s="1">
        <v>44</v>
      </c>
      <c r="BL95" s="1">
        <v>22</v>
      </c>
      <c r="BM95" s="1">
        <v>2</v>
      </c>
      <c r="BN95" s="1" t="s">
        <v>62</v>
      </c>
      <c r="BO95" s="1">
        <v>1</v>
      </c>
      <c r="BP95" s="1">
        <v>1</v>
      </c>
      <c r="BQ95" s="1">
        <v>1</v>
      </c>
      <c r="BR95" s="3">
        <v>44250</v>
      </c>
      <c r="BS95" s="1" t="s">
        <v>61</v>
      </c>
      <c r="BT95" s="12" t="s">
        <v>60</v>
      </c>
      <c r="BU95" s="1">
        <v>5</v>
      </c>
      <c r="BV95" s="1">
        <v>1</v>
      </c>
      <c r="CE95" s="1">
        <v>1</v>
      </c>
      <c r="CF95" s="3">
        <v>44313</v>
      </c>
      <c r="CG95" s="7">
        <f>CF95-AJ95</f>
        <v>33</v>
      </c>
      <c r="CH95" s="1" t="s">
        <v>844</v>
      </c>
      <c r="CI95" s="17" t="s">
        <v>460</v>
      </c>
      <c r="CJ95" s="1" t="s">
        <v>606</v>
      </c>
      <c r="CK95" s="1" t="s">
        <v>702</v>
      </c>
      <c r="CM95" s="1">
        <v>0</v>
      </c>
      <c r="CN95" s="12" t="str">
        <f>MID(CK95,4,1)</f>
        <v>2</v>
      </c>
      <c r="CO95" s="1" t="s">
        <v>752</v>
      </c>
      <c r="CP95" s="1">
        <v>1</v>
      </c>
      <c r="CQ95" s="1" t="s">
        <v>843</v>
      </c>
      <c r="CR95" s="1">
        <v>0.4</v>
      </c>
      <c r="CS95" s="1" t="s">
        <v>742</v>
      </c>
      <c r="CT95" s="1" t="s">
        <v>842</v>
      </c>
      <c r="CU95" s="1" t="s">
        <v>472</v>
      </c>
      <c r="CV95" s="1">
        <v>0</v>
      </c>
      <c r="CW95" s="1">
        <v>4.7</v>
      </c>
      <c r="CX95" s="1">
        <v>8.8000000000000007</v>
      </c>
      <c r="CY95" s="1">
        <v>0.25</v>
      </c>
      <c r="CZ95" s="1">
        <v>0</v>
      </c>
      <c r="DA95" s="1">
        <v>64</v>
      </c>
      <c r="DB95" s="2">
        <f>CZ95/DA95*100</f>
        <v>0</v>
      </c>
      <c r="DC95" s="1">
        <v>0</v>
      </c>
      <c r="DD95" s="1">
        <v>0</v>
      </c>
      <c r="DE95" s="1">
        <v>0</v>
      </c>
      <c r="DF95" s="1">
        <v>0</v>
      </c>
      <c r="DG95" s="26" t="s">
        <v>841</v>
      </c>
      <c r="DH95" s="7">
        <v>0</v>
      </c>
      <c r="DI95" s="7">
        <v>0</v>
      </c>
      <c r="DJ95" s="3">
        <v>44911</v>
      </c>
      <c r="DK95" s="1" t="s">
        <v>75</v>
      </c>
      <c r="DL95" s="1">
        <f>(DJ95-I95)/365.25*12</f>
        <v>21.716632443531829</v>
      </c>
      <c r="DM95" s="1">
        <v>0</v>
      </c>
      <c r="DQ95" s="7">
        <v>0</v>
      </c>
      <c r="DT95" s="7">
        <v>0</v>
      </c>
      <c r="DU95" s="7">
        <v>0</v>
      </c>
      <c r="DV95" s="7">
        <v>0</v>
      </c>
      <c r="DW95" s="7">
        <f>DU95*(1-DV95)</f>
        <v>0</v>
      </c>
      <c r="DX95" s="7">
        <f>(1-DU95)*DV95</f>
        <v>0</v>
      </c>
      <c r="DY95" s="7">
        <f>DU95*DV95</f>
        <v>0</v>
      </c>
      <c r="EB95" s="7">
        <v>0</v>
      </c>
      <c r="EC95" s="7">
        <v>0</v>
      </c>
      <c r="ED95" s="7">
        <f>1-((1-DQ95)*(1-DT95))</f>
        <v>0</v>
      </c>
      <c r="EI95" s="1">
        <v>0</v>
      </c>
      <c r="EJ95" s="7">
        <f>(1-DQ95)*DX95*(1-EI95)</f>
        <v>0</v>
      </c>
      <c r="FC95" s="6" t="s">
        <v>50</v>
      </c>
      <c r="FD95" s="1">
        <v>0</v>
      </c>
      <c r="FF95" s="1" t="s">
        <v>45</v>
      </c>
      <c r="FI95" s="20">
        <f>IF(DM95=1, (DO95-I95)/365.25*12, IF(DM95=0, DL95, "ERROR"))</f>
        <v>21.716632443531829</v>
      </c>
      <c r="GA95" s="1">
        <v>10</v>
      </c>
      <c r="GB95" s="1">
        <v>10</v>
      </c>
      <c r="GC95" s="1">
        <v>962.85829999999999</v>
      </c>
      <c r="GD95" s="1">
        <v>359.78949999999998</v>
      </c>
      <c r="GE95" s="25">
        <v>30</v>
      </c>
      <c r="GF95" s="25">
        <v>30</v>
      </c>
      <c r="GG95" s="1">
        <v>410.15300000000002</v>
      </c>
      <c r="GH95" s="24">
        <v>311.37729999999999</v>
      </c>
    </row>
    <row r="96" spans="1:190" ht="12.75" customHeight="1">
      <c r="A96" s="1" t="s">
        <v>776</v>
      </c>
      <c r="B96" s="1" t="s">
        <v>775</v>
      </c>
      <c r="C96" s="1">
        <v>42120720</v>
      </c>
      <c r="D96" s="1">
        <v>1</v>
      </c>
      <c r="E96" s="1">
        <v>0</v>
      </c>
      <c r="F96" s="1">
        <v>1</v>
      </c>
      <c r="G96" s="1">
        <v>1</v>
      </c>
      <c r="I96" s="3">
        <v>44519</v>
      </c>
      <c r="J96" s="3">
        <v>44496</v>
      </c>
      <c r="K96" s="3">
        <v>20193</v>
      </c>
      <c r="L96" s="5">
        <f>(DAYS360(K96,I96))/365</f>
        <v>65.68493150684931</v>
      </c>
      <c r="M96" s="1" t="s">
        <v>5</v>
      </c>
      <c r="N96" s="1">
        <v>1</v>
      </c>
      <c r="O96" s="1">
        <v>0</v>
      </c>
      <c r="P96" s="1" t="s">
        <v>161</v>
      </c>
      <c r="Q96" s="1">
        <v>0</v>
      </c>
      <c r="R96" s="1" t="s">
        <v>18</v>
      </c>
      <c r="S96" s="1" t="s">
        <v>774</v>
      </c>
      <c r="T96" s="1" t="s">
        <v>140</v>
      </c>
      <c r="U96" s="1">
        <v>1</v>
      </c>
      <c r="V96" s="1">
        <v>0</v>
      </c>
      <c r="W96" s="1">
        <v>0</v>
      </c>
      <c r="X96" s="1" t="s">
        <v>117</v>
      </c>
      <c r="Y96" s="1">
        <v>3</v>
      </c>
      <c r="Z96" s="1">
        <v>1</v>
      </c>
      <c r="AA96" s="1" t="s">
        <v>116</v>
      </c>
      <c r="AC96" s="1">
        <v>3</v>
      </c>
      <c r="AD96" s="1" t="s">
        <v>773</v>
      </c>
      <c r="AE96" s="1" t="s">
        <v>114</v>
      </c>
      <c r="AF96" s="1">
        <v>0</v>
      </c>
      <c r="AG96" s="1">
        <v>0</v>
      </c>
      <c r="AH96" s="1">
        <v>0</v>
      </c>
      <c r="AI96" s="3">
        <v>44519</v>
      </c>
      <c r="AJ96" s="3">
        <v>44550</v>
      </c>
      <c r="BA96" s="1">
        <f>3.5+2+0.5</f>
        <v>6</v>
      </c>
      <c r="BG96" s="1">
        <v>44</v>
      </c>
      <c r="BH96" s="1">
        <v>22</v>
      </c>
      <c r="BI96" s="1">
        <v>0</v>
      </c>
      <c r="BJ96" s="1">
        <v>0</v>
      </c>
      <c r="BK96" s="1">
        <v>44</v>
      </c>
      <c r="BL96" s="1">
        <v>22</v>
      </c>
      <c r="BM96" s="1">
        <v>2</v>
      </c>
      <c r="BN96" s="1" t="s">
        <v>62</v>
      </c>
      <c r="BO96" s="1">
        <v>1</v>
      </c>
      <c r="BP96" s="1">
        <v>1</v>
      </c>
      <c r="BQ96" s="1">
        <v>1</v>
      </c>
      <c r="BR96" s="3">
        <v>44519</v>
      </c>
      <c r="BS96" s="1" t="s">
        <v>61</v>
      </c>
      <c r="BT96" s="12" t="s">
        <v>60</v>
      </c>
      <c r="BU96" s="1">
        <v>5</v>
      </c>
      <c r="BV96" s="1">
        <v>1</v>
      </c>
      <c r="CE96" s="1">
        <v>1</v>
      </c>
      <c r="CF96" s="3">
        <v>44581</v>
      </c>
      <c r="CG96" s="7">
        <f>CF96-AJ96</f>
        <v>31</v>
      </c>
      <c r="CH96" s="1" t="s">
        <v>772</v>
      </c>
      <c r="CI96" s="1" t="s">
        <v>183</v>
      </c>
      <c r="CJ96" s="1" t="s">
        <v>182</v>
      </c>
      <c r="CK96" s="1" t="s">
        <v>771</v>
      </c>
      <c r="CL96" s="1" t="s">
        <v>45</v>
      </c>
      <c r="CM96" s="1">
        <v>0</v>
      </c>
      <c r="CN96" s="12" t="str">
        <f>MID(CK96,4,1)</f>
        <v>0</v>
      </c>
      <c r="CO96" s="1" t="s">
        <v>765</v>
      </c>
      <c r="CP96" s="1">
        <v>0</v>
      </c>
      <c r="CQ96" s="1" t="s">
        <v>45</v>
      </c>
      <c r="CR96" s="1">
        <v>0</v>
      </c>
      <c r="CS96" s="1" t="s">
        <v>45</v>
      </c>
      <c r="CT96" s="1" t="s">
        <v>45</v>
      </c>
      <c r="CU96" s="1" t="s">
        <v>45</v>
      </c>
      <c r="CV96" s="1">
        <v>0</v>
      </c>
      <c r="CW96" s="1" t="s">
        <v>45</v>
      </c>
      <c r="CX96" s="1" t="s">
        <v>45</v>
      </c>
      <c r="CY96" s="1" t="s">
        <v>45</v>
      </c>
      <c r="CZ96" s="1">
        <v>1</v>
      </c>
      <c r="DA96" s="1">
        <v>48</v>
      </c>
      <c r="DB96" s="2">
        <f>CZ96/DA96*100</f>
        <v>2.083333333333333</v>
      </c>
      <c r="DC96" s="1">
        <v>0</v>
      </c>
      <c r="DD96" s="1">
        <v>0</v>
      </c>
      <c r="DE96" s="1">
        <v>0</v>
      </c>
      <c r="DF96" s="1">
        <v>0</v>
      </c>
      <c r="DG96" s="26" t="s">
        <v>770</v>
      </c>
      <c r="DH96" s="7">
        <v>0</v>
      </c>
      <c r="DI96" s="7">
        <v>0</v>
      </c>
      <c r="DJ96" s="3">
        <v>44909</v>
      </c>
      <c r="DK96" s="1" t="s">
        <v>75</v>
      </c>
      <c r="DL96" s="1">
        <f>(DJ96-I96)/365.25*12</f>
        <v>12.813141683778234</v>
      </c>
      <c r="DM96" s="1">
        <v>0</v>
      </c>
      <c r="DQ96" s="7">
        <v>0</v>
      </c>
      <c r="DT96" s="7">
        <v>0</v>
      </c>
      <c r="DU96" s="7">
        <v>0</v>
      </c>
      <c r="DV96" s="7">
        <v>0</v>
      </c>
      <c r="DW96" s="7">
        <f>DU96*(1-DV96)</f>
        <v>0</v>
      </c>
      <c r="DX96" s="7">
        <f>(1-DU96)*DV96</f>
        <v>0</v>
      </c>
      <c r="DY96" s="7">
        <f>DU96*DV96</f>
        <v>0</v>
      </c>
      <c r="EB96" s="7">
        <v>0</v>
      </c>
      <c r="EC96" s="7">
        <v>0</v>
      </c>
      <c r="ED96" s="7">
        <f>1-((1-DQ96)*(1-DT96))</f>
        <v>0</v>
      </c>
      <c r="EI96" s="1">
        <v>0</v>
      </c>
      <c r="EJ96" s="7">
        <f>(1-DQ96)*DX96*(1-EI96)</f>
        <v>0</v>
      </c>
      <c r="FC96" s="6" t="s">
        <v>50</v>
      </c>
      <c r="FD96" s="1">
        <v>0</v>
      </c>
      <c r="FF96" s="1" t="s">
        <v>45</v>
      </c>
      <c r="FI96" s="20">
        <f>IF(DM96=1, (DO96-I96)/365.25*12, IF(DM96=0, DL96, "ERROR"))</f>
        <v>12.813141683778234</v>
      </c>
      <c r="GA96" s="1">
        <v>11</v>
      </c>
      <c r="GB96" s="1">
        <v>1</v>
      </c>
      <c r="GC96" s="1">
        <v>680.91430000000003</v>
      </c>
      <c r="GD96" s="1">
        <v>311.00200000000001</v>
      </c>
      <c r="GE96" s="25">
        <v>50</v>
      </c>
      <c r="GF96" s="25">
        <v>50</v>
      </c>
      <c r="GG96" s="1">
        <v>1244.7469000000001</v>
      </c>
      <c r="GH96" s="24">
        <v>938.82370000000003</v>
      </c>
    </row>
    <row r="97" spans="1:190" ht="12.75" customHeight="1">
      <c r="A97" s="1" t="s">
        <v>1647</v>
      </c>
      <c r="B97" s="12" t="s">
        <v>1646</v>
      </c>
      <c r="C97" s="12">
        <v>42332460</v>
      </c>
      <c r="D97" s="12">
        <v>0</v>
      </c>
      <c r="E97" s="12">
        <v>0</v>
      </c>
      <c r="F97" s="12">
        <v>1</v>
      </c>
      <c r="G97" s="12">
        <v>1</v>
      </c>
      <c r="H97" s="21"/>
      <c r="I97" s="11">
        <v>40870</v>
      </c>
      <c r="J97" s="11">
        <v>40854</v>
      </c>
      <c r="K97" s="11">
        <v>18283</v>
      </c>
      <c r="L97" s="20">
        <f>(DAYS360(K97,I97))/365</f>
        <v>60.994520547945207</v>
      </c>
      <c r="M97" s="12" t="s">
        <v>370</v>
      </c>
      <c r="N97" s="12">
        <v>1</v>
      </c>
      <c r="O97" s="12">
        <v>0</v>
      </c>
      <c r="P97" s="12" t="s">
        <v>423</v>
      </c>
      <c r="Q97" s="12">
        <v>1</v>
      </c>
      <c r="R97" s="12" t="s">
        <v>1603</v>
      </c>
      <c r="S97" s="12" t="s">
        <v>555</v>
      </c>
      <c r="T97" s="12" t="s">
        <v>432</v>
      </c>
      <c r="U97" s="12">
        <v>0</v>
      </c>
      <c r="V97" s="12">
        <v>1</v>
      </c>
      <c r="W97" s="12">
        <v>1</v>
      </c>
      <c r="X97" s="12" t="s">
        <v>1638</v>
      </c>
      <c r="Y97" s="12">
        <v>3</v>
      </c>
      <c r="Z97" s="12">
        <v>0</v>
      </c>
      <c r="AA97" s="12" t="s">
        <v>382</v>
      </c>
      <c r="AB97" s="12" t="s">
        <v>1584</v>
      </c>
      <c r="AC97" s="12">
        <v>2</v>
      </c>
      <c r="AD97" s="12"/>
      <c r="AE97" s="12"/>
      <c r="AF97" s="12">
        <v>0</v>
      </c>
      <c r="AG97" s="12">
        <v>0</v>
      </c>
      <c r="AH97" s="12">
        <v>0</v>
      </c>
      <c r="AI97" s="11">
        <v>40870</v>
      </c>
      <c r="AJ97" s="11">
        <v>40910</v>
      </c>
      <c r="AK97" s="19" t="s">
        <v>554</v>
      </c>
      <c r="AL97" s="19" t="s">
        <v>357</v>
      </c>
      <c r="AM97" s="12">
        <v>0</v>
      </c>
      <c r="AN97" s="12">
        <v>0</v>
      </c>
      <c r="AO97" s="12">
        <v>0</v>
      </c>
      <c r="AP97" s="12">
        <v>0</v>
      </c>
      <c r="AQ97" s="12">
        <v>0</v>
      </c>
      <c r="AR97" s="12">
        <v>0</v>
      </c>
      <c r="AS97" s="12">
        <f>IF(AND(AM97=0,AU97&lt;=2), 1, 0)</f>
        <v>0</v>
      </c>
      <c r="AT97" s="12">
        <v>0</v>
      </c>
      <c r="AU97" s="12">
        <v>4</v>
      </c>
      <c r="AV97" s="12">
        <v>1</v>
      </c>
      <c r="AW97" s="12" t="s">
        <v>45</v>
      </c>
      <c r="AX97" s="12">
        <v>1</v>
      </c>
      <c r="AY97" s="19" t="s">
        <v>357</v>
      </c>
      <c r="AZ97" s="12">
        <v>1</v>
      </c>
      <c r="BA97" s="12">
        <f>2.5+3+0.5</f>
        <v>6</v>
      </c>
      <c r="BB97" s="12">
        <v>207.3</v>
      </c>
      <c r="BC97" s="12">
        <v>6.5</v>
      </c>
      <c r="BD97" s="12">
        <v>4</v>
      </c>
      <c r="BE97" s="12">
        <v>517.5</v>
      </c>
      <c r="BF97" s="12" t="s">
        <v>391</v>
      </c>
      <c r="BG97" s="12" t="s">
        <v>360</v>
      </c>
      <c r="BH97" s="12">
        <v>45</v>
      </c>
      <c r="BI97" s="12">
        <v>5.4</v>
      </c>
      <c r="BJ97" s="12">
        <v>1</v>
      </c>
      <c r="BK97" s="12">
        <f>BH97+BI97</f>
        <v>50.4</v>
      </c>
      <c r="BL97" s="12">
        <v>28</v>
      </c>
      <c r="BM97" s="12">
        <v>1.8</v>
      </c>
      <c r="BN97" s="12" t="s">
        <v>359</v>
      </c>
      <c r="BO97" s="12">
        <v>0</v>
      </c>
      <c r="BP97" s="12">
        <v>1</v>
      </c>
      <c r="BQ97" s="12">
        <v>1</v>
      </c>
      <c r="BR97" s="11">
        <v>40870</v>
      </c>
      <c r="BS97" s="12" t="s">
        <v>91</v>
      </c>
      <c r="BT97" s="12" t="s">
        <v>90</v>
      </c>
      <c r="BU97" s="12">
        <v>2</v>
      </c>
      <c r="BV97" s="12">
        <v>1</v>
      </c>
      <c r="BW97" s="12">
        <v>7.4</v>
      </c>
      <c r="BX97" s="12">
        <v>0.65600000000000003</v>
      </c>
      <c r="BY97" s="12">
        <v>0.20599999999999999</v>
      </c>
      <c r="BZ97" s="12">
        <v>15.1</v>
      </c>
      <c r="CA97" s="12">
        <v>291</v>
      </c>
      <c r="CB97" s="12">
        <v>1.75</v>
      </c>
      <c r="CC97" s="12">
        <v>13.8</v>
      </c>
      <c r="CD97" s="12">
        <v>12.3</v>
      </c>
      <c r="CE97" s="12">
        <v>1</v>
      </c>
      <c r="CF97" s="11">
        <v>40955</v>
      </c>
      <c r="CG97" s="7">
        <f>CF97-AJ97</f>
        <v>45</v>
      </c>
      <c r="CH97" s="17" t="s">
        <v>994</v>
      </c>
      <c r="CI97" s="12" t="s">
        <v>183</v>
      </c>
      <c r="CJ97" s="17" t="s">
        <v>515</v>
      </c>
      <c r="CK97" s="12" t="s">
        <v>1645</v>
      </c>
      <c r="CL97" s="12" t="s">
        <v>365</v>
      </c>
      <c r="CM97" s="12">
        <v>0</v>
      </c>
      <c r="CN97" s="12" t="str">
        <f>MID(CK97,4,1)</f>
        <v>3</v>
      </c>
      <c r="CO97" s="12" t="s">
        <v>357</v>
      </c>
      <c r="CP97" s="12" t="s">
        <v>45</v>
      </c>
      <c r="CQ97" s="17" t="s">
        <v>1644</v>
      </c>
      <c r="CR97" s="17">
        <v>1.7</v>
      </c>
      <c r="CS97" s="12" t="s">
        <v>1581</v>
      </c>
      <c r="CT97" s="12" t="s">
        <v>511</v>
      </c>
      <c r="CU97" s="12" t="s">
        <v>472</v>
      </c>
      <c r="CV97" s="17">
        <v>0</v>
      </c>
      <c r="CW97" s="12">
        <v>3.8</v>
      </c>
      <c r="CX97" s="12">
        <v>9.8000000000000007</v>
      </c>
      <c r="CY97" s="12">
        <v>0.15</v>
      </c>
      <c r="CZ97" s="12">
        <v>1</v>
      </c>
      <c r="DA97" s="12">
        <v>24</v>
      </c>
      <c r="DB97" s="13">
        <f>CZ97/DA97*100</f>
        <v>4.1666666666666661</v>
      </c>
      <c r="DC97" s="12">
        <v>0</v>
      </c>
      <c r="DD97" s="12">
        <v>0</v>
      </c>
      <c r="DE97" s="12">
        <v>1</v>
      </c>
      <c r="DF97" s="12">
        <v>0</v>
      </c>
      <c r="DG97" s="12" t="s">
        <v>1643</v>
      </c>
      <c r="DH97" s="16">
        <v>0</v>
      </c>
      <c r="DI97" s="16">
        <v>0</v>
      </c>
      <c r="DJ97" s="11">
        <v>41015</v>
      </c>
      <c r="DK97" s="11"/>
      <c r="DL97" s="12">
        <f>(DJ97-I97)/365.25*12</f>
        <v>4.7638603696098558</v>
      </c>
      <c r="DM97" s="12">
        <v>0</v>
      </c>
      <c r="DN97" s="12" t="s">
        <v>357</v>
      </c>
      <c r="DO97" s="12" t="s">
        <v>357</v>
      </c>
      <c r="DP97" s="19" t="s">
        <v>357</v>
      </c>
      <c r="DQ97" s="16">
        <v>0</v>
      </c>
      <c r="DR97" s="11" t="s">
        <v>45</v>
      </c>
      <c r="DS97" s="10">
        <f>IF(DQ97=1, (DR97-$I97)/365.25*12, IF(DQ97=0, $DL97, "ERROR"))</f>
        <v>4.7638603696098558</v>
      </c>
      <c r="DT97" s="16">
        <v>0</v>
      </c>
      <c r="DU97" s="16">
        <v>0</v>
      </c>
      <c r="DV97" s="16">
        <v>0</v>
      </c>
      <c r="DW97" s="16">
        <f>DU97*(1-DV97)</f>
        <v>0</v>
      </c>
      <c r="DX97" s="16">
        <f>(1-DU97)*DV97</f>
        <v>0</v>
      </c>
      <c r="DY97" s="16">
        <f>DU97*DV97</f>
        <v>0</v>
      </c>
      <c r="DZ97" s="11" t="s">
        <v>45</v>
      </c>
      <c r="EA97" s="10">
        <f>IF(DT97=1, (DZ97-$I97)/365.25*12, IF(DT97=0, $DL97, "ERROR"))</f>
        <v>4.7638603696098558</v>
      </c>
      <c r="EB97" s="16">
        <v>0</v>
      </c>
      <c r="EC97" s="16">
        <v>0</v>
      </c>
      <c r="ED97" s="16">
        <f>1-((1-DQ97)*(1-DT97))</f>
        <v>0</v>
      </c>
      <c r="EE97" s="11" t="s">
        <v>45</v>
      </c>
      <c r="EF97" s="12" t="s">
        <v>357</v>
      </c>
      <c r="EG97" s="16" t="s">
        <v>357</v>
      </c>
      <c r="EH97" s="12" t="s">
        <v>357</v>
      </c>
      <c r="EI97" s="12">
        <v>0</v>
      </c>
      <c r="EJ97" s="16">
        <f>(1-DQ97)*DX97*(1-EI97)</f>
        <v>0</v>
      </c>
      <c r="EK97" s="12" t="s">
        <v>45</v>
      </c>
      <c r="EL97" s="10">
        <f>IF(EI97=1, (EK97-$I97)/365.25*12, IF(EI97=0, $DL97, "ERROR"))</f>
        <v>4.7638603696098558</v>
      </c>
      <c r="EM97" s="12" t="s">
        <v>45</v>
      </c>
      <c r="EN97" s="1">
        <v>0</v>
      </c>
      <c r="EO97" s="1">
        <v>0</v>
      </c>
      <c r="EP97" s="1">
        <v>0</v>
      </c>
      <c r="EQ97" s="1">
        <v>0</v>
      </c>
      <c r="ER97" s="1">
        <v>0</v>
      </c>
      <c r="ES97" s="1">
        <v>0</v>
      </c>
      <c r="ET97" s="1">
        <v>0</v>
      </c>
      <c r="EU97" s="1">
        <v>0</v>
      </c>
      <c r="EV97" s="1">
        <v>0</v>
      </c>
      <c r="EW97" s="1">
        <f>1-((1-EP97)*(1-ET97)*(1-EU97)*(1-EV97))</f>
        <v>0</v>
      </c>
      <c r="EX97" s="16">
        <v>0</v>
      </c>
      <c r="EY97" s="7">
        <v>0</v>
      </c>
      <c r="EZ97" s="7">
        <v>0</v>
      </c>
      <c r="FA97" s="7">
        <v>0</v>
      </c>
      <c r="FB97" s="12" t="s">
        <v>45</v>
      </c>
      <c r="FC97" s="12">
        <v>1</v>
      </c>
      <c r="FD97" s="12">
        <v>1</v>
      </c>
      <c r="FE97" s="12" t="s">
        <v>1642</v>
      </c>
      <c r="FF97" s="18">
        <v>41016</v>
      </c>
      <c r="FG97" s="3">
        <f>IF(FC97=1, FF97, IF(FD97=1, 44348, DJ97))</f>
        <v>41016</v>
      </c>
      <c r="FH97" s="13">
        <f>(FG97-I97)/365.25*12</f>
        <v>4.7967145790554415</v>
      </c>
      <c r="FI97" s="20">
        <f>IF(DM97=1, (DO97-I97)/365.25*12, IF(DM97=0, DL97, "ERROR"))</f>
        <v>4.7638603696098558</v>
      </c>
      <c r="FJ97" s="14">
        <f>IF(OR(DM97,FC97), 1, 0)</f>
        <v>1</v>
      </c>
      <c r="FK97" s="11">
        <f>IF(DM97=1,IF(FC97=1,MIN(DO97,FF97),DO97),IF(FC97=1,FF97,DJ97))</f>
        <v>41016</v>
      </c>
      <c r="FL97" s="13">
        <f>(FK97-$I97)/365.25*12</f>
        <v>4.7967145790554415</v>
      </c>
      <c r="FM97" s="14">
        <f>IF(OR(ED97,FC97), 1, 0)</f>
        <v>1</v>
      </c>
      <c r="FN97" s="11">
        <f>IF(ED97=1,IF(FC97=1,MIN(EE97,FF97),EE97),IF(FC97=1,FF97,DJ97))</f>
        <v>41016</v>
      </c>
      <c r="FO97" s="13">
        <f>(FN97-$I97)/365.25*12</f>
        <v>4.7967145790554415</v>
      </c>
      <c r="FP97" s="14">
        <f>IF(OR(EI97,FC97), 1, 0)</f>
        <v>1</v>
      </c>
      <c r="FQ97" s="11">
        <f>IF(EI97=1,IF(FC97=1,MIN(EK97,FF97),EK97),IF(FC97=1,FF97,DJ97))</f>
        <v>41016</v>
      </c>
      <c r="FR97" s="13">
        <f>(FQ97-$I97)/365.25*12</f>
        <v>4.7967145790554415</v>
      </c>
      <c r="FS97" s="12"/>
      <c r="FT97" s="12"/>
      <c r="FU97" s="12">
        <v>0</v>
      </c>
      <c r="FV97" s="12">
        <v>0</v>
      </c>
      <c r="FW97" s="12">
        <v>1</v>
      </c>
      <c r="FX97" s="12">
        <v>0</v>
      </c>
      <c r="FY97" s="12" t="s">
        <v>1641</v>
      </c>
      <c r="FZ97" s="12"/>
      <c r="GA97" s="1">
        <v>11</v>
      </c>
      <c r="GB97" s="1">
        <v>1</v>
      </c>
      <c r="GC97" s="1">
        <v>992.16890000000001</v>
      </c>
      <c r="GD97" s="1">
        <v>248.63669999999999</v>
      </c>
      <c r="GE97" s="25">
        <v>8</v>
      </c>
      <c r="GF97" s="25">
        <v>7</v>
      </c>
      <c r="GG97" s="1">
        <v>1043.0164</v>
      </c>
      <c r="GH97" s="24">
        <v>579.34429999999998</v>
      </c>
    </row>
    <row r="98" spans="1:190" ht="12.75" customHeight="1">
      <c r="A98" s="1" t="s">
        <v>1640</v>
      </c>
      <c r="B98" s="12" t="s">
        <v>1639</v>
      </c>
      <c r="C98" s="12">
        <v>42522605</v>
      </c>
      <c r="D98" s="12">
        <v>0</v>
      </c>
      <c r="E98" s="12">
        <v>0</v>
      </c>
      <c r="F98" s="12">
        <v>1</v>
      </c>
      <c r="G98" s="12">
        <v>1</v>
      </c>
      <c r="H98" s="21"/>
      <c r="I98" s="11">
        <v>40919</v>
      </c>
      <c r="J98" s="11">
        <v>40900</v>
      </c>
      <c r="K98" s="11">
        <v>20044</v>
      </c>
      <c r="L98" s="20">
        <f>(DAYS360(K98,I98))/365</f>
        <v>56.369863013698627</v>
      </c>
      <c r="M98" s="12" t="s">
        <v>370</v>
      </c>
      <c r="N98" s="12">
        <v>1</v>
      </c>
      <c r="O98" s="12">
        <v>0</v>
      </c>
      <c r="P98" s="12" t="s">
        <v>423</v>
      </c>
      <c r="Q98" s="12">
        <v>1</v>
      </c>
      <c r="R98" s="12" t="s">
        <v>466</v>
      </c>
      <c r="S98" s="12" t="s">
        <v>481</v>
      </c>
      <c r="T98" s="12" t="s">
        <v>368</v>
      </c>
      <c r="U98" s="12">
        <v>0</v>
      </c>
      <c r="V98" s="12">
        <v>0</v>
      </c>
      <c r="W98" s="12">
        <v>1</v>
      </c>
      <c r="X98" s="12" t="s">
        <v>1638</v>
      </c>
      <c r="Y98" s="12">
        <v>3</v>
      </c>
      <c r="Z98" s="12">
        <v>0</v>
      </c>
      <c r="AA98" s="12" t="s">
        <v>65</v>
      </c>
      <c r="AB98" s="12" t="s">
        <v>701</v>
      </c>
      <c r="AC98" s="12">
        <v>2</v>
      </c>
      <c r="AD98" s="12"/>
      <c r="AE98" s="12"/>
      <c r="AF98" s="12">
        <v>0</v>
      </c>
      <c r="AG98" s="12">
        <v>0</v>
      </c>
      <c r="AH98" s="12">
        <v>0</v>
      </c>
      <c r="AI98" s="11">
        <v>40919</v>
      </c>
      <c r="AJ98" s="11">
        <v>40960</v>
      </c>
      <c r="AK98" s="19" t="s">
        <v>554</v>
      </c>
      <c r="AL98" s="19" t="s">
        <v>357</v>
      </c>
      <c r="AM98" s="12">
        <v>0</v>
      </c>
      <c r="AN98" s="12">
        <v>0</v>
      </c>
      <c r="AO98" s="12">
        <v>0</v>
      </c>
      <c r="AP98" s="12">
        <v>0</v>
      </c>
      <c r="AQ98" s="12">
        <v>0</v>
      </c>
      <c r="AR98" s="12">
        <v>0</v>
      </c>
      <c r="AS98" s="12">
        <f>IF(AND(AM98=0,AU98&lt;=2), 1, 0)</f>
        <v>0</v>
      </c>
      <c r="AT98" s="12">
        <v>0</v>
      </c>
      <c r="AU98" s="12">
        <v>4</v>
      </c>
      <c r="AV98" s="12">
        <v>1</v>
      </c>
      <c r="AW98" s="12" t="s">
        <v>45</v>
      </c>
      <c r="AX98" s="12">
        <v>1</v>
      </c>
      <c r="AY98" s="19" t="s">
        <v>357</v>
      </c>
      <c r="AZ98" s="12">
        <v>1</v>
      </c>
      <c r="BA98" s="12">
        <f>1+5.5+0.5</f>
        <v>7</v>
      </c>
      <c r="BB98" s="12">
        <v>141.19999999999999</v>
      </c>
      <c r="BC98" s="12">
        <f>5-1.5+0.5</f>
        <v>4</v>
      </c>
      <c r="BD98" s="12">
        <f>9.5-6+0.5</f>
        <v>4</v>
      </c>
      <c r="BE98" s="12">
        <v>408.9</v>
      </c>
      <c r="BF98" s="12" t="s">
        <v>391</v>
      </c>
      <c r="BG98" s="12" t="s">
        <v>360</v>
      </c>
      <c r="BH98" s="12">
        <v>45</v>
      </c>
      <c r="BI98" s="12">
        <v>5.4</v>
      </c>
      <c r="BJ98" s="12">
        <v>1</v>
      </c>
      <c r="BK98" s="12">
        <f>BH98+BI98</f>
        <v>50.4</v>
      </c>
      <c r="BL98" s="12">
        <v>28</v>
      </c>
      <c r="BM98" s="12">
        <v>1.8</v>
      </c>
      <c r="BN98" s="12" t="s">
        <v>359</v>
      </c>
      <c r="BO98" s="12">
        <v>0</v>
      </c>
      <c r="BP98" s="12">
        <v>1</v>
      </c>
      <c r="BQ98" s="12">
        <v>1</v>
      </c>
      <c r="BR98" s="11">
        <v>40919</v>
      </c>
      <c r="BS98" s="12" t="s">
        <v>91</v>
      </c>
      <c r="BT98" s="12" t="s">
        <v>90</v>
      </c>
      <c r="BU98" s="12">
        <v>2</v>
      </c>
      <c r="BV98" s="12">
        <v>1</v>
      </c>
      <c r="BW98" s="12">
        <v>4.8</v>
      </c>
      <c r="BX98" s="12">
        <v>0.55900000000000005</v>
      </c>
      <c r="BY98" s="12">
        <v>0.311</v>
      </c>
      <c r="BZ98" s="12">
        <v>14.8</v>
      </c>
      <c r="CA98" s="12">
        <v>200</v>
      </c>
      <c r="CB98" s="12">
        <v>1.74</v>
      </c>
      <c r="CC98" s="12">
        <v>22</v>
      </c>
      <c r="CD98" s="12">
        <v>10.8</v>
      </c>
      <c r="CE98" s="12">
        <v>1</v>
      </c>
      <c r="CF98" s="11">
        <v>40987</v>
      </c>
      <c r="CG98" s="7">
        <f>CF98-AJ98</f>
        <v>27</v>
      </c>
      <c r="CH98" s="17" t="s">
        <v>1637</v>
      </c>
      <c r="CI98" s="12" t="s">
        <v>183</v>
      </c>
      <c r="CJ98" s="17" t="s">
        <v>515</v>
      </c>
      <c r="CK98" s="12" t="s">
        <v>1636</v>
      </c>
      <c r="CL98" s="12" t="s">
        <v>716</v>
      </c>
      <c r="CM98" s="12">
        <v>0</v>
      </c>
      <c r="CN98" s="12" t="str">
        <f>MID(CK98,4,1)</f>
        <v>3</v>
      </c>
      <c r="CO98" s="12" t="s">
        <v>1635</v>
      </c>
      <c r="CP98" s="12">
        <v>2</v>
      </c>
      <c r="CQ98" s="17" t="s">
        <v>1634</v>
      </c>
      <c r="CR98" s="17">
        <v>2.5</v>
      </c>
      <c r="CS98" s="12" t="s">
        <v>1581</v>
      </c>
      <c r="CT98" s="12" t="s">
        <v>511</v>
      </c>
      <c r="CU98" s="12" t="s">
        <v>472</v>
      </c>
      <c r="CV98" s="17">
        <v>0</v>
      </c>
      <c r="CW98" s="12">
        <v>3.3</v>
      </c>
      <c r="CX98" s="12">
        <v>3.5</v>
      </c>
      <c r="CY98" s="12">
        <v>0.15</v>
      </c>
      <c r="CZ98" s="12">
        <v>2</v>
      </c>
      <c r="DA98" s="12">
        <v>21</v>
      </c>
      <c r="DB98" s="13">
        <f>CZ98/DA98*100</f>
        <v>9.5238095238095237</v>
      </c>
      <c r="DC98" s="12">
        <v>0</v>
      </c>
      <c r="DD98" s="12">
        <v>0</v>
      </c>
      <c r="DE98" s="12">
        <v>0</v>
      </c>
      <c r="DF98" s="12">
        <v>0</v>
      </c>
      <c r="DG98" s="11" t="s">
        <v>1633</v>
      </c>
      <c r="DH98" s="16">
        <v>0</v>
      </c>
      <c r="DI98" s="16">
        <v>1</v>
      </c>
      <c r="DJ98" s="11">
        <v>41011</v>
      </c>
      <c r="DK98" s="11" t="s">
        <v>1632</v>
      </c>
      <c r="DL98" s="12">
        <f>(DJ98-I98)/365.25*12</f>
        <v>3.0225872689938393</v>
      </c>
      <c r="DM98" s="12">
        <v>0</v>
      </c>
      <c r="DN98" s="12" t="s">
        <v>357</v>
      </c>
      <c r="DO98" s="12" t="s">
        <v>357</v>
      </c>
      <c r="DP98" s="19" t="s">
        <v>357</v>
      </c>
      <c r="DQ98" s="16">
        <v>0</v>
      </c>
      <c r="DR98" s="11" t="s">
        <v>45</v>
      </c>
      <c r="DS98" s="10">
        <f>IF(DQ98=1, (DR98-$I98)/365.25*12, IF(DQ98=0, $DL98, "ERROR"))</f>
        <v>3.0225872689938393</v>
      </c>
      <c r="DT98" s="16">
        <v>0</v>
      </c>
      <c r="DU98" s="16">
        <v>0</v>
      </c>
      <c r="DV98" s="16">
        <v>0</v>
      </c>
      <c r="DW98" s="16">
        <f>DU98*(1-DV98)</f>
        <v>0</v>
      </c>
      <c r="DX98" s="16">
        <f>(1-DU98)*DV98</f>
        <v>0</v>
      </c>
      <c r="DY98" s="16">
        <f>DU98*DV98</f>
        <v>0</v>
      </c>
      <c r="DZ98" s="11" t="s">
        <v>45</v>
      </c>
      <c r="EA98" s="10">
        <f>IF(DT98=1, (DZ98-$I98)/365.25*12, IF(DT98=0, $DL98, "ERROR"))</f>
        <v>3.0225872689938393</v>
      </c>
      <c r="EB98" s="16">
        <v>0</v>
      </c>
      <c r="EC98" s="16">
        <v>0</v>
      </c>
      <c r="ED98" s="16">
        <f>1-((1-DQ98)*(1-DT98))</f>
        <v>0</v>
      </c>
      <c r="EE98" s="11" t="s">
        <v>45</v>
      </c>
      <c r="EF98" s="12" t="s">
        <v>45</v>
      </c>
      <c r="EG98" s="16" t="s">
        <v>357</v>
      </c>
      <c r="EH98" s="12" t="s">
        <v>357</v>
      </c>
      <c r="EI98" s="12">
        <v>0</v>
      </c>
      <c r="EJ98" s="16">
        <f>(1-DQ98)*DX98*(1-EI98)</f>
        <v>0</v>
      </c>
      <c r="EK98" s="12" t="s">
        <v>45</v>
      </c>
      <c r="EL98" s="10">
        <f>IF(EI98=1, (EK98-$I98)/365.25*12, IF(EI98=0, $DL98, "ERROR"))</f>
        <v>3.0225872689938393</v>
      </c>
      <c r="EM98" s="12" t="s">
        <v>45</v>
      </c>
      <c r="EN98" s="1">
        <v>0</v>
      </c>
      <c r="EO98" s="1">
        <v>0</v>
      </c>
      <c r="EP98" s="1">
        <v>0</v>
      </c>
      <c r="EQ98" s="1">
        <v>0</v>
      </c>
      <c r="ER98" s="1">
        <v>0</v>
      </c>
      <c r="ES98" s="1">
        <v>0</v>
      </c>
      <c r="ET98" s="1">
        <v>0</v>
      </c>
      <c r="EU98" s="1">
        <v>0</v>
      </c>
      <c r="EV98" s="1">
        <v>0</v>
      </c>
      <c r="EW98" s="1">
        <f>1-((1-EP98)*(1-ET98)*(1-EU98)*(1-EV98))</f>
        <v>0</v>
      </c>
      <c r="EX98" s="16">
        <v>0</v>
      </c>
      <c r="EY98" s="7">
        <v>0</v>
      </c>
      <c r="EZ98" s="7">
        <v>0</v>
      </c>
      <c r="FA98" s="7">
        <v>0</v>
      </c>
      <c r="FB98" s="12" t="s">
        <v>45</v>
      </c>
      <c r="FC98" s="12">
        <v>1</v>
      </c>
      <c r="FD98" s="12">
        <v>1</v>
      </c>
      <c r="FE98" s="12"/>
      <c r="FF98" s="18">
        <v>41248</v>
      </c>
      <c r="FG98" s="3">
        <f>IF(FC98=1, FF98, IF(FD98=1, 44348, DJ98))</f>
        <v>41248</v>
      </c>
      <c r="FH98" s="13">
        <f>(FG98-I98)/365.25*12</f>
        <v>10.809034907597535</v>
      </c>
      <c r="FI98" s="20">
        <f>IF(DM98=1, (DO98-I98)/365.25*12, IF(DM98=0, DL98, "ERROR"))</f>
        <v>3.0225872689938393</v>
      </c>
      <c r="FJ98" s="14">
        <f>IF(OR(DM98,FC98), 1, 0)</f>
        <v>1</v>
      </c>
      <c r="FK98" s="11">
        <f>IF(DM98=1,IF(FC98=1,MIN(DO98,FF98),DO98),IF(FC98=1,FF98,DJ98))</f>
        <v>41248</v>
      </c>
      <c r="FL98" s="13">
        <f>(FK98-$I98)/365.25*12</f>
        <v>10.809034907597535</v>
      </c>
      <c r="FM98" s="14">
        <f>IF(OR(ED98,FC98), 1, 0)</f>
        <v>1</v>
      </c>
      <c r="FN98" s="11">
        <f>IF(ED98=1,IF(FC98=1,MIN(EE98,FF98),EE98),IF(FC98=1,FF98,DJ98))</f>
        <v>41248</v>
      </c>
      <c r="FO98" s="13">
        <f>(FN98-$I98)/365.25*12</f>
        <v>10.809034907597535</v>
      </c>
      <c r="FP98" s="14">
        <f>IF(OR(EI98,FC98), 1, 0)</f>
        <v>1</v>
      </c>
      <c r="FQ98" s="11">
        <f>IF(EI98=1,IF(FC98=1,MIN(EK98,FF98),EK98),IF(FC98=1,FF98,DJ98))</f>
        <v>41248</v>
      </c>
      <c r="FR98" s="13">
        <f>(FQ98-$I98)/365.25*12</f>
        <v>10.809034907597535</v>
      </c>
      <c r="FS98" s="12"/>
      <c r="FT98" s="12"/>
      <c r="FU98" s="12">
        <v>0</v>
      </c>
      <c r="FV98" s="12">
        <v>0</v>
      </c>
      <c r="FW98" s="12">
        <v>0</v>
      </c>
      <c r="FX98" s="12">
        <v>0</v>
      </c>
      <c r="FY98" s="12" t="s">
        <v>1631</v>
      </c>
      <c r="FZ98" s="12"/>
      <c r="GA98" s="1">
        <v>3</v>
      </c>
      <c r="GB98" s="1">
        <v>1</v>
      </c>
      <c r="GC98" s="1">
        <v>244.59110000000001</v>
      </c>
      <c r="GD98" s="1">
        <v>37.0974</v>
      </c>
      <c r="GE98" s="25">
        <v>2</v>
      </c>
      <c r="GF98" s="25">
        <v>2</v>
      </c>
      <c r="GG98" s="1">
        <v>237.31489999999999</v>
      </c>
      <c r="GH98" s="24">
        <v>144.226</v>
      </c>
    </row>
    <row r="99" spans="1:190" ht="12.75" customHeight="1">
      <c r="A99" s="1" t="s">
        <v>1630</v>
      </c>
      <c r="B99" s="12" t="s">
        <v>1629</v>
      </c>
      <c r="C99" s="12">
        <v>42748515</v>
      </c>
      <c r="D99" s="12">
        <v>0</v>
      </c>
      <c r="E99" s="12">
        <v>0</v>
      </c>
      <c r="F99" s="12">
        <v>1</v>
      </c>
      <c r="G99" s="12">
        <v>1</v>
      </c>
      <c r="H99" s="21"/>
      <c r="I99" s="11">
        <v>40968</v>
      </c>
      <c r="J99" s="11">
        <v>40952</v>
      </c>
      <c r="K99" s="11">
        <v>25196</v>
      </c>
      <c r="L99" s="20">
        <f>(DAYS360(K99,I99))/365</f>
        <v>42.589041095890408</v>
      </c>
      <c r="M99" s="12" t="s">
        <v>370</v>
      </c>
      <c r="N99" s="12">
        <v>1</v>
      </c>
      <c r="O99" s="12">
        <v>0</v>
      </c>
      <c r="P99" s="12" t="s">
        <v>410</v>
      </c>
      <c r="Q99" s="12">
        <v>2</v>
      </c>
      <c r="R99" s="12" t="s">
        <v>466</v>
      </c>
      <c r="S99" s="12" t="s">
        <v>1628</v>
      </c>
      <c r="T99" s="12" t="s">
        <v>368</v>
      </c>
      <c r="U99" s="12">
        <v>0</v>
      </c>
      <c r="V99" s="12">
        <v>0</v>
      </c>
      <c r="W99" s="12">
        <v>1</v>
      </c>
      <c r="X99" s="12" t="s">
        <v>1627</v>
      </c>
      <c r="Y99" s="12">
        <v>3</v>
      </c>
      <c r="Z99" s="12">
        <v>2</v>
      </c>
      <c r="AA99" s="12" t="s">
        <v>366</v>
      </c>
      <c r="AB99" s="12" t="s">
        <v>716</v>
      </c>
      <c r="AC99" s="12">
        <v>3</v>
      </c>
      <c r="AD99" s="12" t="s">
        <v>1626</v>
      </c>
      <c r="AE99" s="12" t="s">
        <v>465</v>
      </c>
      <c r="AF99" s="12">
        <v>0</v>
      </c>
      <c r="AG99" s="12">
        <v>0</v>
      </c>
      <c r="AH99" s="12">
        <v>0</v>
      </c>
      <c r="AI99" s="11">
        <v>40968</v>
      </c>
      <c r="AJ99" s="11">
        <v>41008</v>
      </c>
      <c r="AK99" s="19" t="s">
        <v>1615</v>
      </c>
      <c r="AL99" s="19" t="s">
        <v>392</v>
      </c>
      <c r="AM99" s="12">
        <v>0</v>
      </c>
      <c r="AN99" s="12">
        <v>0</v>
      </c>
      <c r="AO99" s="12">
        <v>0</v>
      </c>
      <c r="AP99" s="12">
        <v>0</v>
      </c>
      <c r="AQ99" s="12">
        <v>0</v>
      </c>
      <c r="AR99" s="12">
        <v>0</v>
      </c>
      <c r="AS99" s="12">
        <f>IF(AND(AM99=0,AU99&lt;=2), 1, 0)</f>
        <v>0</v>
      </c>
      <c r="AT99" s="12">
        <v>0</v>
      </c>
      <c r="AU99" s="12">
        <v>4</v>
      </c>
      <c r="AV99" s="12">
        <v>1</v>
      </c>
      <c r="AW99" s="12">
        <v>1</v>
      </c>
      <c r="AX99" s="12">
        <v>1</v>
      </c>
      <c r="AY99" s="19" t="s">
        <v>357</v>
      </c>
      <c r="AZ99" s="12">
        <v>1</v>
      </c>
      <c r="BA99" s="12">
        <f>7.5-2+0.5</f>
        <v>6</v>
      </c>
      <c r="BB99" s="12">
        <v>204.4</v>
      </c>
      <c r="BC99" s="12">
        <f>13+1.5+0.5</f>
        <v>15</v>
      </c>
      <c r="BD99" s="12">
        <v>4</v>
      </c>
      <c r="BE99" s="12">
        <v>600.20000000000005</v>
      </c>
      <c r="BF99" s="12" t="s">
        <v>1614</v>
      </c>
      <c r="BG99" s="12" t="s">
        <v>360</v>
      </c>
      <c r="BH99" s="12">
        <v>45</v>
      </c>
      <c r="BI99" s="12">
        <v>5.4</v>
      </c>
      <c r="BJ99" s="12">
        <v>1</v>
      </c>
      <c r="BK99" s="12">
        <f>BH99+BI99</f>
        <v>50.4</v>
      </c>
      <c r="BL99" s="12">
        <v>28</v>
      </c>
      <c r="BM99" s="12">
        <v>1.8</v>
      </c>
      <c r="BN99" s="12" t="s">
        <v>359</v>
      </c>
      <c r="BO99" s="12">
        <v>0</v>
      </c>
      <c r="BP99" s="12">
        <v>1</v>
      </c>
      <c r="BQ99" s="12">
        <v>1</v>
      </c>
      <c r="BR99" s="11">
        <v>40968</v>
      </c>
      <c r="BS99" s="12" t="s">
        <v>91</v>
      </c>
      <c r="BT99" s="12" t="s">
        <v>90</v>
      </c>
      <c r="BU99" s="12">
        <v>2</v>
      </c>
      <c r="BV99" s="12">
        <v>1</v>
      </c>
      <c r="BW99" s="12">
        <v>5.29</v>
      </c>
      <c r="BX99" s="12">
        <v>0.66300000000000003</v>
      </c>
      <c r="BY99" s="12">
        <v>0.187</v>
      </c>
      <c r="BZ99" s="12">
        <v>15.3</v>
      </c>
      <c r="CA99" s="12">
        <v>196</v>
      </c>
      <c r="CB99" s="12">
        <v>1.57</v>
      </c>
      <c r="CC99" s="12">
        <v>19.600000000000001</v>
      </c>
      <c r="CD99" s="12">
        <v>5.7</v>
      </c>
      <c r="CE99" s="12">
        <v>1</v>
      </c>
      <c r="CF99" s="11">
        <v>41046</v>
      </c>
      <c r="CG99" s="7">
        <f>CF99-AJ99</f>
        <v>38</v>
      </c>
      <c r="CH99" s="12" t="s">
        <v>497</v>
      </c>
      <c r="CI99" s="12" t="s">
        <v>183</v>
      </c>
      <c r="CJ99" s="17" t="s">
        <v>515</v>
      </c>
      <c r="CK99" s="12" t="s">
        <v>1625</v>
      </c>
      <c r="CL99" s="12" t="s">
        <v>381</v>
      </c>
      <c r="CM99" s="12">
        <v>0</v>
      </c>
      <c r="CN99" s="12" t="str">
        <f>MID(CK99,4,1)</f>
        <v>1</v>
      </c>
      <c r="CO99" s="12" t="s">
        <v>357</v>
      </c>
      <c r="CP99" s="12" t="s">
        <v>45</v>
      </c>
      <c r="CQ99" s="17" t="s">
        <v>1624</v>
      </c>
      <c r="CR99" s="17">
        <v>0.4</v>
      </c>
      <c r="CS99" s="12" t="s">
        <v>1623</v>
      </c>
      <c r="CT99" s="12" t="s">
        <v>455</v>
      </c>
      <c r="CU99" s="12" t="s">
        <v>472</v>
      </c>
      <c r="CV99" s="17">
        <v>0</v>
      </c>
      <c r="CW99" s="12">
        <v>6.7</v>
      </c>
      <c r="CX99" s="12">
        <v>16</v>
      </c>
      <c r="CY99" s="12">
        <v>0.55000000000000004</v>
      </c>
      <c r="CZ99" s="12">
        <v>1</v>
      </c>
      <c r="DA99" s="12">
        <v>49</v>
      </c>
      <c r="DB99" s="13">
        <f>CZ99/DA99*100</f>
        <v>2.0408163265306123</v>
      </c>
      <c r="DC99" s="12">
        <v>0</v>
      </c>
      <c r="DD99" s="12">
        <v>0</v>
      </c>
      <c r="DE99" s="12">
        <v>0</v>
      </c>
      <c r="DF99" s="12">
        <v>0</v>
      </c>
      <c r="DG99" s="12" t="s">
        <v>1622</v>
      </c>
      <c r="DH99" s="16">
        <v>0</v>
      </c>
      <c r="DI99" s="16">
        <v>0</v>
      </c>
      <c r="DJ99" s="11">
        <v>41572</v>
      </c>
      <c r="DK99" s="11"/>
      <c r="DL99" s="12">
        <f>(DJ99-I99)/365.25*12</f>
        <v>19.843942505133469</v>
      </c>
      <c r="DM99" s="12">
        <v>1</v>
      </c>
      <c r="DN99" s="12" t="s">
        <v>1620</v>
      </c>
      <c r="DO99" s="11">
        <v>41572</v>
      </c>
      <c r="DP99" s="19" t="s">
        <v>45</v>
      </c>
      <c r="DQ99" s="16">
        <v>0</v>
      </c>
      <c r="DR99" s="11" t="s">
        <v>45</v>
      </c>
      <c r="DS99" s="10">
        <f>IF(DQ99=1, (DR99-$I99)/365.25*12, IF(DQ99=0, $DL99, "ERROR"))</f>
        <v>19.843942505133469</v>
      </c>
      <c r="DT99" s="16">
        <v>1</v>
      </c>
      <c r="DU99" s="16">
        <v>0</v>
      </c>
      <c r="DV99" s="16">
        <v>1</v>
      </c>
      <c r="DW99" s="16">
        <f>DU99*(1-DV99)</f>
        <v>0</v>
      </c>
      <c r="DX99" s="16">
        <f>(1-DU99)*DV99</f>
        <v>1</v>
      </c>
      <c r="DY99" s="16">
        <f>DU99*DV99</f>
        <v>0</v>
      </c>
      <c r="DZ99" s="11">
        <v>41582</v>
      </c>
      <c r="EA99" s="10">
        <f>IF(DT99=1, (DZ99-$I99)/365.25*12, IF(DT99=0, $DL99, "ERROR"))</f>
        <v>20.172484599589321</v>
      </c>
      <c r="EB99" s="16">
        <v>1</v>
      </c>
      <c r="EC99" s="16">
        <v>0</v>
      </c>
      <c r="ED99" s="16">
        <f>1-((1-DQ99)*(1-DT99))</f>
        <v>1</v>
      </c>
      <c r="EE99" s="11">
        <f>MIN(DR99,DZ99)</f>
        <v>41582</v>
      </c>
      <c r="EF99" s="11" t="s">
        <v>1621</v>
      </c>
      <c r="EG99" s="16" t="s">
        <v>45</v>
      </c>
      <c r="EH99" s="11" t="s">
        <v>45</v>
      </c>
      <c r="EI99" s="12">
        <v>1</v>
      </c>
      <c r="EJ99" s="16">
        <f>(1-DQ99)*DX99*(1-EI99)</f>
        <v>0</v>
      </c>
      <c r="EK99" s="11">
        <v>41572</v>
      </c>
      <c r="EL99" s="10">
        <f>IF(EI99=1, (EK99-$I99)/365.25*12, IF(EI99=0, $DL99, "ERROR"))</f>
        <v>19.843942505133469</v>
      </c>
      <c r="EM99" s="12" t="s">
        <v>1620</v>
      </c>
      <c r="EN99" s="16">
        <v>1</v>
      </c>
      <c r="EO99" s="16">
        <v>0</v>
      </c>
      <c r="EP99" s="16">
        <v>0</v>
      </c>
      <c r="EQ99" s="16">
        <v>0</v>
      </c>
      <c r="ER99" s="16">
        <v>0</v>
      </c>
      <c r="ES99" s="16">
        <v>0</v>
      </c>
      <c r="ET99" s="16">
        <v>0</v>
      </c>
      <c r="EU99" s="16">
        <v>1</v>
      </c>
      <c r="EV99" s="16">
        <v>0</v>
      </c>
      <c r="EW99" s="1">
        <f>1-((1-EP99)*(1-ET99)*(1-EU99)*(1-EV99))</f>
        <v>1</v>
      </c>
      <c r="EX99" s="16">
        <v>0</v>
      </c>
      <c r="EY99" s="7">
        <v>0</v>
      </c>
      <c r="EZ99" s="7">
        <v>0</v>
      </c>
      <c r="FA99" s="7">
        <v>0</v>
      </c>
      <c r="FB99" s="11" t="s">
        <v>45</v>
      </c>
      <c r="FC99" s="12">
        <v>1</v>
      </c>
      <c r="FD99" s="12">
        <v>1</v>
      </c>
      <c r="FE99" s="11"/>
      <c r="FF99" s="18">
        <v>41857</v>
      </c>
      <c r="FG99" s="3">
        <f>IF(FC99=1, FF99, IF(FD99=1, 44348, DJ99))</f>
        <v>41857</v>
      </c>
      <c r="FH99" s="13">
        <f>(FG99-I99)/365.25*12</f>
        <v>29.207392197125259</v>
      </c>
      <c r="FI99" s="20">
        <f>IF(DM99=1, (DO99-I99)/365.25*12, IF(DM99=0, DL99, "ERROR"))</f>
        <v>19.843942505133469</v>
      </c>
      <c r="FJ99" s="14">
        <f>IF(OR(DM99,FC99), 1, 0)</f>
        <v>1</v>
      </c>
      <c r="FK99" s="11">
        <f>IF(DM99=1,IF(FC99=1,MIN(DO99,FF99),DO99),IF(FC99=1,FF99,DJ99))</f>
        <v>41572</v>
      </c>
      <c r="FL99" s="13">
        <f>(FK99-$I99)/365.25*12</f>
        <v>19.843942505133469</v>
      </c>
      <c r="FM99" s="14">
        <f>IF(OR(ED99,FC99), 1, 0)</f>
        <v>1</v>
      </c>
      <c r="FN99" s="11">
        <f>IF(ED99=1,IF(FC99=1,MIN(EE99,FF99),EE99),IF(FC99=1,FF99,DJ99))</f>
        <v>41582</v>
      </c>
      <c r="FO99" s="13">
        <f>(FN99-$I99)/365.25*12</f>
        <v>20.172484599589321</v>
      </c>
      <c r="FP99" s="14">
        <f>IF(OR(EI99,FC99), 1, 0)</f>
        <v>1</v>
      </c>
      <c r="FQ99" s="11">
        <f>IF(EI99=1,IF(FC99=1,MIN(EK99,FF99),EK99),IF(FC99=1,FF99,DJ99))</f>
        <v>41572</v>
      </c>
      <c r="FR99" s="13">
        <f>(FQ99-$I99)/365.25*12</f>
        <v>19.843942505133469</v>
      </c>
      <c r="FS99" s="12"/>
      <c r="FT99" s="12"/>
      <c r="FU99" s="12">
        <v>1</v>
      </c>
      <c r="FV99" s="12">
        <v>1</v>
      </c>
      <c r="FW99" s="12">
        <v>0</v>
      </c>
      <c r="FX99" s="12">
        <v>0</v>
      </c>
      <c r="FY99" s="12" t="s">
        <v>1619</v>
      </c>
      <c r="FZ99" s="12"/>
      <c r="GA99" s="1">
        <v>0</v>
      </c>
      <c r="GB99" s="1">
        <v>0</v>
      </c>
      <c r="GC99" s="1">
        <v>399.42</v>
      </c>
      <c r="GD99" s="1">
        <v>51.595999999999997</v>
      </c>
      <c r="GE99" s="25">
        <v>5</v>
      </c>
      <c r="GF99" s="25">
        <v>5</v>
      </c>
      <c r="GG99" s="1">
        <v>678.72580000000005</v>
      </c>
      <c r="GH99" s="24">
        <v>598.04920000000004</v>
      </c>
    </row>
    <row r="100" spans="1:190" ht="12.75" customHeight="1">
      <c r="A100" s="1" t="s">
        <v>1618</v>
      </c>
      <c r="B100" s="12" t="s">
        <v>1617</v>
      </c>
      <c r="C100" s="12">
        <v>42812562</v>
      </c>
      <c r="D100" s="12">
        <v>0</v>
      </c>
      <c r="E100" s="12">
        <v>0</v>
      </c>
      <c r="F100" s="12">
        <v>1</v>
      </c>
      <c r="G100" s="12">
        <v>1</v>
      </c>
      <c r="H100" s="21"/>
      <c r="I100" s="11">
        <v>40987</v>
      </c>
      <c r="J100" s="11">
        <v>40970</v>
      </c>
      <c r="K100" s="11">
        <v>21842</v>
      </c>
      <c r="L100" s="20">
        <f>(DAYS360(K100,I100))/365</f>
        <v>51.698630136986303</v>
      </c>
      <c r="M100" s="12" t="s">
        <v>370</v>
      </c>
      <c r="N100" s="12">
        <v>1</v>
      </c>
      <c r="O100" s="12">
        <v>0</v>
      </c>
      <c r="P100" s="12" t="s">
        <v>423</v>
      </c>
      <c r="Q100" s="12">
        <v>1</v>
      </c>
      <c r="R100" s="12" t="s">
        <v>466</v>
      </c>
      <c r="S100" s="12" t="s">
        <v>1616</v>
      </c>
      <c r="T100" s="12" t="s">
        <v>368</v>
      </c>
      <c r="U100" s="12">
        <v>0</v>
      </c>
      <c r="V100" s="12">
        <v>0</v>
      </c>
      <c r="W100" s="12">
        <v>1</v>
      </c>
      <c r="X100" s="12" t="s">
        <v>367</v>
      </c>
      <c r="Y100" s="12">
        <v>3</v>
      </c>
      <c r="Z100" s="12">
        <v>1</v>
      </c>
      <c r="AA100" s="12" t="s">
        <v>366</v>
      </c>
      <c r="AB100" s="12" t="s">
        <v>365</v>
      </c>
      <c r="AC100" s="12">
        <v>3</v>
      </c>
      <c r="AD100" s="12" t="s">
        <v>364</v>
      </c>
      <c r="AE100" s="12" t="s">
        <v>479</v>
      </c>
      <c r="AF100" s="12">
        <v>0</v>
      </c>
      <c r="AG100" s="12">
        <v>0</v>
      </c>
      <c r="AH100" s="12">
        <v>0</v>
      </c>
      <c r="AI100" s="11">
        <v>40987</v>
      </c>
      <c r="AJ100" s="11">
        <v>41025</v>
      </c>
      <c r="AK100" s="19" t="s">
        <v>1615</v>
      </c>
      <c r="AL100" s="19" t="s">
        <v>392</v>
      </c>
      <c r="AM100" s="12">
        <v>1</v>
      </c>
      <c r="AN100" s="12">
        <v>1</v>
      </c>
      <c r="AO100" s="12">
        <v>0</v>
      </c>
      <c r="AP100" s="12">
        <v>0</v>
      </c>
      <c r="AQ100" s="12">
        <v>0</v>
      </c>
      <c r="AR100" s="12">
        <v>0</v>
      </c>
      <c r="AS100" s="12">
        <f>IF(AND(AM100=0,AU100&lt;=2), 1, 0)</f>
        <v>0</v>
      </c>
      <c r="AT100" s="12">
        <v>0</v>
      </c>
      <c r="AU100" s="12">
        <v>4</v>
      </c>
      <c r="AV100" s="12">
        <v>1</v>
      </c>
      <c r="AW100" s="12">
        <v>1</v>
      </c>
      <c r="AX100" s="12">
        <v>1</v>
      </c>
      <c r="AY100" s="19" t="s">
        <v>357</v>
      </c>
      <c r="AZ100" s="12">
        <v>1</v>
      </c>
      <c r="BA100" s="12">
        <f>1.5+9+0.5</f>
        <v>11</v>
      </c>
      <c r="BB100" s="12">
        <v>269.89999999999998</v>
      </c>
      <c r="BC100" s="12">
        <f>7.5-2+0.5</f>
        <v>6</v>
      </c>
      <c r="BD100" s="12">
        <f>13-9.5+0.5</f>
        <v>4</v>
      </c>
      <c r="BE100" s="12">
        <v>749.5</v>
      </c>
      <c r="BF100" s="12" t="s">
        <v>1614</v>
      </c>
      <c r="BG100" s="12" t="s">
        <v>360</v>
      </c>
      <c r="BH100" s="12">
        <v>45</v>
      </c>
      <c r="BI100" s="12">
        <v>5.4</v>
      </c>
      <c r="BJ100" s="12">
        <v>1</v>
      </c>
      <c r="BK100" s="12">
        <f>BH100+BI100</f>
        <v>50.4</v>
      </c>
      <c r="BL100" s="12">
        <v>28</v>
      </c>
      <c r="BM100" s="12">
        <v>1.8</v>
      </c>
      <c r="BN100" s="12" t="s">
        <v>359</v>
      </c>
      <c r="BO100" s="12">
        <v>0</v>
      </c>
      <c r="BP100" s="12">
        <v>1</v>
      </c>
      <c r="BQ100" s="12">
        <v>1</v>
      </c>
      <c r="BR100" s="11">
        <v>40987</v>
      </c>
      <c r="BS100" s="12" t="s">
        <v>91</v>
      </c>
      <c r="BT100" s="12" t="s">
        <v>90</v>
      </c>
      <c r="BU100" s="12">
        <v>2</v>
      </c>
      <c r="BV100" s="12">
        <v>1</v>
      </c>
      <c r="BW100" s="12">
        <v>7.8</v>
      </c>
      <c r="BX100" s="12">
        <v>0.61599999999999999</v>
      </c>
      <c r="BY100" s="12">
        <v>0.29099999999999998</v>
      </c>
      <c r="BZ100" s="12">
        <v>14.4</v>
      </c>
      <c r="CA100" s="12">
        <v>293</v>
      </c>
      <c r="CB100" s="12">
        <v>1.66</v>
      </c>
      <c r="CC100" s="12">
        <v>21</v>
      </c>
      <c r="CD100" s="12">
        <v>11</v>
      </c>
      <c r="CE100" s="12">
        <v>1</v>
      </c>
      <c r="CF100" s="11">
        <v>41061</v>
      </c>
      <c r="CG100" s="7">
        <f>CF100-AJ100</f>
        <v>36</v>
      </c>
      <c r="CH100" s="17" t="s">
        <v>461</v>
      </c>
      <c r="CI100" s="17" t="s">
        <v>460</v>
      </c>
      <c r="CJ100" s="17" t="s">
        <v>515</v>
      </c>
      <c r="CK100" s="12" t="s">
        <v>1613</v>
      </c>
      <c r="CL100" s="12" t="s">
        <v>1584</v>
      </c>
      <c r="CM100" s="12">
        <v>0</v>
      </c>
      <c r="CN100" s="12" t="str">
        <f>MID(CK100,4,1)</f>
        <v>3</v>
      </c>
      <c r="CO100" s="12" t="s">
        <v>1549</v>
      </c>
      <c r="CP100" s="12">
        <v>2</v>
      </c>
      <c r="CQ100" s="17" t="s">
        <v>1612</v>
      </c>
      <c r="CR100" s="17">
        <v>4.2</v>
      </c>
      <c r="CS100" s="12" t="s">
        <v>1581</v>
      </c>
      <c r="CT100" s="12" t="s">
        <v>511</v>
      </c>
      <c r="CU100" s="12" t="s">
        <v>472</v>
      </c>
      <c r="CV100" s="17">
        <v>0</v>
      </c>
      <c r="CW100" s="12">
        <v>0.8</v>
      </c>
      <c r="CX100" s="12">
        <v>1.5</v>
      </c>
      <c r="CY100" s="12">
        <v>0.1</v>
      </c>
      <c r="CZ100" s="12">
        <v>1</v>
      </c>
      <c r="DA100" s="12">
        <v>5</v>
      </c>
      <c r="DB100" s="13">
        <f>CZ100/DA100*100</f>
        <v>20</v>
      </c>
      <c r="DC100" s="12">
        <v>0</v>
      </c>
      <c r="DD100" s="12">
        <v>0</v>
      </c>
      <c r="DE100" s="12">
        <v>1</v>
      </c>
      <c r="DF100" s="12">
        <v>0</v>
      </c>
      <c r="DG100" s="12" t="s">
        <v>1611</v>
      </c>
      <c r="DH100" s="16">
        <v>0</v>
      </c>
      <c r="DI100" s="16">
        <v>0</v>
      </c>
      <c r="DJ100" s="11">
        <v>41319</v>
      </c>
      <c r="DK100" s="11"/>
      <c r="DL100" s="12">
        <f>(DJ100-I100)/365.25*12</f>
        <v>10.907597535934292</v>
      </c>
      <c r="DM100" s="12">
        <v>1</v>
      </c>
      <c r="DN100" s="12" t="s">
        <v>1610</v>
      </c>
      <c r="DO100" s="11">
        <v>41319</v>
      </c>
      <c r="DP100" s="19" t="s">
        <v>1609</v>
      </c>
      <c r="DQ100" s="16">
        <v>0</v>
      </c>
      <c r="DR100" s="11" t="s">
        <v>45</v>
      </c>
      <c r="DS100" s="10">
        <f>IF(DQ100=1, (DR100-$I100)/365.25*12, IF(DQ100=0, $DL100, "ERROR"))</f>
        <v>10.907597535934292</v>
      </c>
      <c r="DT100" s="16">
        <v>1</v>
      </c>
      <c r="DU100" s="16">
        <v>0</v>
      </c>
      <c r="DV100" s="16">
        <v>1</v>
      </c>
      <c r="DW100" s="16">
        <f>DU100*(1-DV100)</f>
        <v>0</v>
      </c>
      <c r="DX100" s="16">
        <f>(1-DU100)*DV100</f>
        <v>1</v>
      </c>
      <c r="DY100" s="16">
        <f>DU100*DV100</f>
        <v>0</v>
      </c>
      <c r="DZ100" s="11">
        <v>41572</v>
      </c>
      <c r="EA100" s="10">
        <f>IF(DT100=1, (DZ100-$I100)/365.25*12, IF(DT100=0, $DL100, "ERROR"))</f>
        <v>19.219712525667351</v>
      </c>
      <c r="EB100" s="16">
        <v>1</v>
      </c>
      <c r="EC100" s="16">
        <v>0</v>
      </c>
      <c r="ED100" s="16">
        <f>1-((1-DQ100)*(1-DT100))</f>
        <v>1</v>
      </c>
      <c r="EE100" s="11">
        <f>MIN(DR100,DZ100)</f>
        <v>41572</v>
      </c>
      <c r="EF100" s="11" t="s">
        <v>1608</v>
      </c>
      <c r="EG100" s="16" t="s">
        <v>45</v>
      </c>
      <c r="EH100" s="11" t="s">
        <v>45</v>
      </c>
      <c r="EI100" s="12">
        <v>1</v>
      </c>
      <c r="EJ100" s="16">
        <f>(1-DQ100)*DX100*(1-EI100)</f>
        <v>0</v>
      </c>
      <c r="EK100" s="11">
        <v>41912</v>
      </c>
      <c r="EL100" s="10">
        <f>IF(EI100=1, (EK100-$I100)/365.25*12, IF(EI100=0, $DL100, "ERROR"))</f>
        <v>30.390143737166326</v>
      </c>
      <c r="EM100" s="11" t="s">
        <v>1607</v>
      </c>
      <c r="EN100" s="16">
        <v>0</v>
      </c>
      <c r="EO100" s="16">
        <v>0</v>
      </c>
      <c r="EP100" s="16">
        <v>0</v>
      </c>
      <c r="EQ100" s="16">
        <v>0</v>
      </c>
      <c r="ER100" s="16">
        <v>0</v>
      </c>
      <c r="ES100" s="16">
        <v>1</v>
      </c>
      <c r="ET100" s="16">
        <v>0</v>
      </c>
      <c r="EU100" s="16">
        <v>0</v>
      </c>
      <c r="EV100" s="16">
        <v>0</v>
      </c>
      <c r="EW100" s="1">
        <f>1-((1-EP100)*(1-ET100)*(1-EU100)*(1-EV100))</f>
        <v>0</v>
      </c>
      <c r="EX100" s="16">
        <v>1</v>
      </c>
      <c r="EY100" s="7">
        <v>0</v>
      </c>
      <c r="EZ100" s="7">
        <v>0</v>
      </c>
      <c r="FA100" s="7">
        <v>0</v>
      </c>
      <c r="FB100" s="11" t="s">
        <v>45</v>
      </c>
      <c r="FC100" s="12">
        <v>1</v>
      </c>
      <c r="FD100" s="12">
        <v>1</v>
      </c>
      <c r="FE100" s="11"/>
      <c r="FF100" s="18">
        <v>41926</v>
      </c>
      <c r="FG100" s="3">
        <f>IF(FC100=1, FF100, IF(FD100=1, 44348, DJ100))</f>
        <v>41926</v>
      </c>
      <c r="FH100" s="13">
        <f>(FG100-I100)/365.25*12</f>
        <v>30.850102669404521</v>
      </c>
      <c r="FI100" s="20">
        <f>IF(DM100=1, (DO100-I100)/365.25*12, IF(DM100=0, DL100, "ERROR"))</f>
        <v>10.907597535934292</v>
      </c>
      <c r="FJ100" s="14">
        <f>IF(OR(DM100,FC100), 1, 0)</f>
        <v>1</v>
      </c>
      <c r="FK100" s="11">
        <f>IF(DM100=1,IF(FC100=1,MIN(DO100,FF100),DO100),IF(FC100=1,FF100,DJ100))</f>
        <v>41319</v>
      </c>
      <c r="FL100" s="13">
        <f>(FK100-$I100)/365.25*12</f>
        <v>10.907597535934292</v>
      </c>
      <c r="FM100" s="14">
        <f>IF(OR(ED100,FC100), 1, 0)</f>
        <v>1</v>
      </c>
      <c r="FN100" s="11">
        <f>IF(ED100=1,IF(FC100=1,MIN(EE100,FF100),EE100),IF(FC100=1,FF100,DJ100))</f>
        <v>41572</v>
      </c>
      <c r="FO100" s="13">
        <f>(FN100-$I100)/365.25*12</f>
        <v>19.219712525667351</v>
      </c>
      <c r="FP100" s="14">
        <f>IF(OR(EI100,FC100), 1, 0)</f>
        <v>1</v>
      </c>
      <c r="FQ100" s="11">
        <f>IF(EI100=1,IF(FC100=1,MIN(EK100,FF100),EK100),IF(FC100=1,FF100,DJ100))</f>
        <v>41912</v>
      </c>
      <c r="FR100" s="13">
        <f>(FQ100-$I100)/365.25*12</f>
        <v>30.390143737166326</v>
      </c>
      <c r="FS100" s="12"/>
      <c r="FT100" s="12"/>
      <c r="FU100" s="12">
        <v>0</v>
      </c>
      <c r="FV100" s="12">
        <v>0</v>
      </c>
      <c r="FW100" s="12">
        <v>0</v>
      </c>
      <c r="FX100" s="12">
        <v>0</v>
      </c>
      <c r="FY100" s="12" t="s">
        <v>1606</v>
      </c>
      <c r="FZ100" s="12"/>
      <c r="GA100" s="1">
        <v>1</v>
      </c>
      <c r="GB100" s="1">
        <v>1</v>
      </c>
      <c r="GC100" s="1">
        <v>105.5414</v>
      </c>
      <c r="GD100" s="1">
        <v>33.409799999999997</v>
      </c>
      <c r="GE100" s="25">
        <v>6</v>
      </c>
      <c r="GF100" s="25">
        <v>0.5</v>
      </c>
      <c r="GG100" s="1">
        <v>245.73609999999999</v>
      </c>
      <c r="GH100" s="24">
        <v>193.16749999999999</v>
      </c>
    </row>
    <row r="101" spans="1:190" ht="12.75" customHeight="1">
      <c r="A101" s="1" t="s">
        <v>1605</v>
      </c>
      <c r="B101" s="12" t="s">
        <v>1604</v>
      </c>
      <c r="C101" s="12">
        <v>42978424</v>
      </c>
      <c r="D101" s="12">
        <v>0</v>
      </c>
      <c r="E101" s="12">
        <v>0</v>
      </c>
      <c r="F101" s="12">
        <v>1</v>
      </c>
      <c r="G101" s="12">
        <v>1</v>
      </c>
      <c r="H101" s="21"/>
      <c r="I101" s="11">
        <v>41058</v>
      </c>
      <c r="J101" s="11">
        <v>41039</v>
      </c>
      <c r="K101" s="11">
        <v>20723</v>
      </c>
      <c r="L101" s="20">
        <f>(DAYS360(K101,I101))/365</f>
        <v>54.915068493150685</v>
      </c>
      <c r="M101" s="12" t="s">
        <v>370</v>
      </c>
      <c r="N101" s="12">
        <v>1</v>
      </c>
      <c r="O101" s="12">
        <v>0</v>
      </c>
      <c r="P101" s="12" t="s">
        <v>423</v>
      </c>
      <c r="Q101" s="12">
        <v>1</v>
      </c>
      <c r="R101" s="12" t="s">
        <v>1603</v>
      </c>
      <c r="S101" s="12" t="s">
        <v>446</v>
      </c>
      <c r="T101" s="12" t="s">
        <v>384</v>
      </c>
      <c r="U101" s="12">
        <v>0</v>
      </c>
      <c r="V101" s="12">
        <v>1</v>
      </c>
      <c r="W101" s="12">
        <v>0</v>
      </c>
      <c r="X101" s="12" t="s">
        <v>395</v>
      </c>
      <c r="Y101" s="12">
        <v>3</v>
      </c>
      <c r="Z101" s="12">
        <v>1</v>
      </c>
      <c r="AA101" s="12" t="s">
        <v>366</v>
      </c>
      <c r="AB101" s="12" t="s">
        <v>365</v>
      </c>
      <c r="AC101" s="12">
        <v>3</v>
      </c>
      <c r="AD101" s="12" t="s">
        <v>407</v>
      </c>
      <c r="AE101" s="12"/>
      <c r="AF101" s="12">
        <v>0</v>
      </c>
      <c r="AG101" s="12">
        <v>0</v>
      </c>
      <c r="AH101" s="12">
        <v>0</v>
      </c>
      <c r="AI101" s="11">
        <v>41058</v>
      </c>
      <c r="AJ101" s="11">
        <v>41099</v>
      </c>
      <c r="AK101" s="19" t="s">
        <v>464</v>
      </c>
      <c r="AL101" s="19" t="s">
        <v>357</v>
      </c>
      <c r="AM101" s="12">
        <v>0</v>
      </c>
      <c r="AN101" s="12">
        <v>0</v>
      </c>
      <c r="AO101" s="12">
        <v>0</v>
      </c>
      <c r="AP101" s="12">
        <v>0</v>
      </c>
      <c r="AQ101" s="12">
        <v>0</v>
      </c>
      <c r="AR101" s="12">
        <v>0</v>
      </c>
      <c r="AS101" s="12">
        <f>IF(AND(AM101=0,AU101&lt;=2), 1, 0)</f>
        <v>0</v>
      </c>
      <c r="AT101" s="12">
        <v>0</v>
      </c>
      <c r="AU101" s="12">
        <v>4</v>
      </c>
      <c r="AV101" s="12">
        <v>1</v>
      </c>
      <c r="AW101" s="12">
        <v>1</v>
      </c>
      <c r="AX101" s="12">
        <v>0</v>
      </c>
      <c r="AY101" s="19" t="s">
        <v>357</v>
      </c>
      <c r="AZ101" s="12">
        <v>1</v>
      </c>
      <c r="BA101" s="12">
        <f>2.5+4.5+0.5</f>
        <v>7.5</v>
      </c>
      <c r="BB101" s="12">
        <v>208.9</v>
      </c>
      <c r="BC101" s="12">
        <f>6.5-3+0.5</f>
        <v>4</v>
      </c>
      <c r="BD101" s="12">
        <v>4</v>
      </c>
      <c r="BE101" s="12">
        <v>477.5</v>
      </c>
      <c r="BF101" s="12" t="s">
        <v>1602</v>
      </c>
      <c r="BG101" s="12" t="s">
        <v>360</v>
      </c>
      <c r="BH101" s="12">
        <v>45</v>
      </c>
      <c r="BI101" s="12">
        <v>5.4</v>
      </c>
      <c r="BJ101" s="12">
        <v>1</v>
      </c>
      <c r="BK101" s="12">
        <f>BH101+BI101</f>
        <v>50.4</v>
      </c>
      <c r="BL101" s="12">
        <v>28</v>
      </c>
      <c r="BM101" s="12">
        <v>1.8</v>
      </c>
      <c r="BN101" s="12" t="s">
        <v>359</v>
      </c>
      <c r="BO101" s="12">
        <v>0</v>
      </c>
      <c r="BP101" s="12">
        <v>1</v>
      </c>
      <c r="BQ101" s="12">
        <v>1</v>
      </c>
      <c r="BR101" s="11">
        <v>41058</v>
      </c>
      <c r="BS101" s="12" t="s">
        <v>91</v>
      </c>
      <c r="BT101" s="12" t="s">
        <v>90</v>
      </c>
      <c r="BU101" s="12">
        <v>2</v>
      </c>
      <c r="BV101" s="12">
        <v>1</v>
      </c>
      <c r="BW101" s="12">
        <v>11.2</v>
      </c>
      <c r="BX101" s="12">
        <v>0.65</v>
      </c>
      <c r="BY101" s="12">
        <v>0.249</v>
      </c>
      <c r="BZ101" s="12">
        <v>14.1</v>
      </c>
      <c r="CA101" s="12">
        <v>425</v>
      </c>
      <c r="CB101" s="12">
        <v>1.61</v>
      </c>
      <c r="CC101" s="12">
        <v>22.7</v>
      </c>
      <c r="CD101" s="12">
        <v>6.94</v>
      </c>
      <c r="CE101" s="12">
        <v>1</v>
      </c>
      <c r="CF101" s="11">
        <v>41137</v>
      </c>
      <c r="CG101" s="7">
        <f>CF101-AJ101</f>
        <v>38</v>
      </c>
      <c r="CH101" s="12" t="s">
        <v>497</v>
      </c>
      <c r="CI101" s="12" t="s">
        <v>183</v>
      </c>
      <c r="CJ101" s="17" t="s">
        <v>515</v>
      </c>
      <c r="CK101" s="12" t="s">
        <v>1601</v>
      </c>
      <c r="CL101" s="12" t="s">
        <v>1584</v>
      </c>
      <c r="CM101" s="12">
        <v>0</v>
      </c>
      <c r="CN101" s="12" t="str">
        <f>MID(CK101,4,1)</f>
        <v>2</v>
      </c>
      <c r="CO101" s="17" t="s">
        <v>1600</v>
      </c>
      <c r="CP101" s="17">
        <v>1</v>
      </c>
      <c r="CQ101" s="17" t="s">
        <v>1599</v>
      </c>
      <c r="CR101" s="17">
        <v>0.5</v>
      </c>
      <c r="CS101" s="12" t="s">
        <v>1581</v>
      </c>
      <c r="CT101" s="12" t="s">
        <v>1546</v>
      </c>
      <c r="CU101" s="12" t="s">
        <v>454</v>
      </c>
      <c r="CV101" s="17">
        <v>0</v>
      </c>
      <c r="CW101" s="12">
        <v>2.5</v>
      </c>
      <c r="CX101" s="12">
        <v>6</v>
      </c>
      <c r="CY101" s="12">
        <v>0.3</v>
      </c>
      <c r="CZ101" s="12">
        <v>0</v>
      </c>
      <c r="DA101" s="12">
        <v>36</v>
      </c>
      <c r="DB101" s="13">
        <f>CZ101/DA101*100</f>
        <v>0</v>
      </c>
      <c r="DC101" s="12">
        <v>0</v>
      </c>
      <c r="DD101" s="12">
        <v>0</v>
      </c>
      <c r="DE101" s="12">
        <v>0</v>
      </c>
      <c r="DF101" s="12">
        <v>0</v>
      </c>
      <c r="DG101" s="12" t="s">
        <v>1598</v>
      </c>
      <c r="DH101" s="16">
        <v>0</v>
      </c>
      <c r="DI101" s="16">
        <v>0</v>
      </c>
      <c r="DJ101" s="11">
        <v>41320</v>
      </c>
      <c r="DK101" s="11"/>
      <c r="DL101" s="12">
        <f>(DJ101-I101)/365.25*12</f>
        <v>8.6078028747433262</v>
      </c>
      <c r="DM101" s="12">
        <v>1</v>
      </c>
      <c r="DN101" s="12" t="s">
        <v>1597</v>
      </c>
      <c r="DO101" s="11">
        <v>41320</v>
      </c>
      <c r="DP101" s="19" t="s">
        <v>106</v>
      </c>
      <c r="DQ101" s="16">
        <v>0</v>
      </c>
      <c r="DR101" s="11" t="s">
        <v>45</v>
      </c>
      <c r="DS101" s="10">
        <f>IF(DQ101=1, (DR101-$I101)/365.25*12, IF(DQ101=0, $DL101, "ERROR"))</f>
        <v>8.6078028747433262</v>
      </c>
      <c r="DT101" s="16">
        <v>1</v>
      </c>
      <c r="DU101" s="16">
        <v>1</v>
      </c>
      <c r="DV101" s="16">
        <v>0</v>
      </c>
      <c r="DW101" s="16">
        <f>DU101*(1-DV101)</f>
        <v>1</v>
      </c>
      <c r="DX101" s="16">
        <f>(1-DU101)*DV101</f>
        <v>0</v>
      </c>
      <c r="DY101" s="16">
        <f>DU101*DV101</f>
        <v>0</v>
      </c>
      <c r="DZ101" s="11">
        <v>41320</v>
      </c>
      <c r="EA101" s="10">
        <f>IF(DT101=1, (DZ101-$I101)/365.25*12, IF(DT101=0, $DL101, "ERROR"))</f>
        <v>8.6078028747433262</v>
      </c>
      <c r="EB101" s="16">
        <v>1</v>
      </c>
      <c r="EC101" s="16">
        <v>0</v>
      </c>
      <c r="ED101" s="16">
        <f>1-((1-DQ101)*(1-DT101))</f>
        <v>1</v>
      </c>
      <c r="EE101" s="11">
        <f>MIN(DR101,DZ101)</f>
        <v>41320</v>
      </c>
      <c r="EF101" s="11" t="s">
        <v>1596</v>
      </c>
      <c r="EG101" s="16" t="s">
        <v>45</v>
      </c>
      <c r="EH101" s="11" t="s">
        <v>45</v>
      </c>
      <c r="EI101" s="12">
        <v>1</v>
      </c>
      <c r="EJ101" s="16">
        <f>(1-DQ101)*DX101*(1-EI101)</f>
        <v>0</v>
      </c>
      <c r="EK101" s="11">
        <v>41320</v>
      </c>
      <c r="EL101" s="10">
        <f>IF(EI101=1, (EK101-$I101)/365.25*12, IF(EI101=0, $DL101, "ERROR"))</f>
        <v>8.6078028747433262</v>
      </c>
      <c r="EM101" s="11" t="s">
        <v>1595</v>
      </c>
      <c r="EN101" s="16">
        <v>1</v>
      </c>
      <c r="EO101" s="16">
        <v>0</v>
      </c>
      <c r="EP101" s="16">
        <v>0</v>
      </c>
      <c r="EQ101" s="16">
        <v>0</v>
      </c>
      <c r="ER101" s="16">
        <v>0</v>
      </c>
      <c r="ES101" s="16">
        <v>1</v>
      </c>
      <c r="ET101" s="16">
        <v>0</v>
      </c>
      <c r="EU101" s="16">
        <v>0</v>
      </c>
      <c r="EV101" s="16">
        <v>0</v>
      </c>
      <c r="EW101" s="1">
        <f>1-((1-EP101)*(1-ET101)*(1-EU101)*(1-EV101))</f>
        <v>0</v>
      </c>
      <c r="EX101" s="16">
        <v>1</v>
      </c>
      <c r="EY101" s="7">
        <v>0</v>
      </c>
      <c r="EZ101" s="7">
        <v>0</v>
      </c>
      <c r="FA101" s="7">
        <v>0</v>
      </c>
      <c r="FB101" s="11" t="s">
        <v>45</v>
      </c>
      <c r="FC101" s="12">
        <v>1</v>
      </c>
      <c r="FD101" s="12">
        <v>1</v>
      </c>
      <c r="FE101" s="11"/>
      <c r="FF101" s="18">
        <v>41426</v>
      </c>
      <c r="FG101" s="3">
        <f>IF(FC101=1, FF101, IF(FD101=1, 44348, DJ101))</f>
        <v>41426</v>
      </c>
      <c r="FH101" s="13">
        <f>(FG101-I101)/365.25*12</f>
        <v>12.090349075975357</v>
      </c>
      <c r="FI101" s="20">
        <f>IF(DM101=1, (DO101-I101)/365.25*12, IF(DM101=0, DL101, "ERROR"))</f>
        <v>8.6078028747433262</v>
      </c>
      <c r="FJ101" s="14">
        <f>IF(OR(DM101,FC101), 1, 0)</f>
        <v>1</v>
      </c>
      <c r="FK101" s="11">
        <f>IF(DM101=1,IF(FC101=1,MIN(DO101,FF101),DO101),IF(FC101=1,FF101,DJ101))</f>
        <v>41320</v>
      </c>
      <c r="FL101" s="13">
        <f>(FK101-$I101)/365.25*12</f>
        <v>8.6078028747433262</v>
      </c>
      <c r="FM101" s="14">
        <f>IF(OR(ED101,FC101), 1, 0)</f>
        <v>1</v>
      </c>
      <c r="FN101" s="11">
        <f>IF(ED101=1,IF(FC101=1,MIN(EE101,FF101),EE101),IF(FC101=1,FF101,DJ101))</f>
        <v>41320</v>
      </c>
      <c r="FO101" s="13">
        <f>(FN101-$I101)/365.25*12</f>
        <v>8.6078028747433262</v>
      </c>
      <c r="FP101" s="14">
        <f>IF(OR(EI101,FC101), 1, 0)</f>
        <v>1</v>
      </c>
      <c r="FQ101" s="11">
        <f>IF(EI101=1,IF(FC101=1,MIN(EK101,FF101),EK101),IF(FC101=1,FF101,DJ101))</f>
        <v>41320</v>
      </c>
      <c r="FR101" s="13">
        <f>(FQ101-$I101)/365.25*12</f>
        <v>8.6078028747433262</v>
      </c>
      <c r="FS101" s="12"/>
      <c r="FT101" s="12"/>
      <c r="FU101" s="12">
        <v>0</v>
      </c>
      <c r="FV101" s="12">
        <v>0</v>
      </c>
      <c r="FW101" s="12">
        <v>0</v>
      </c>
      <c r="FX101" s="12">
        <v>0</v>
      </c>
      <c r="FY101" s="12" t="s">
        <v>1594</v>
      </c>
      <c r="FZ101" s="12"/>
      <c r="GA101" s="1">
        <v>3</v>
      </c>
      <c r="GB101" s="1">
        <v>3</v>
      </c>
      <c r="GC101" s="1">
        <v>794.9366</v>
      </c>
      <c r="GD101" s="1">
        <v>63.927100000000003</v>
      </c>
      <c r="GE101" s="25">
        <v>0</v>
      </c>
      <c r="GF101" s="25">
        <v>0</v>
      </c>
      <c r="GG101" s="1">
        <v>145.07749999999999</v>
      </c>
      <c r="GH101" s="24">
        <v>161.96029999999999</v>
      </c>
    </row>
    <row r="102" spans="1:190" ht="12.75" customHeight="1">
      <c r="A102" s="1" t="s">
        <v>1593</v>
      </c>
      <c r="B102" s="12" t="s">
        <v>1592</v>
      </c>
      <c r="C102" s="12">
        <v>43192090</v>
      </c>
      <c r="D102" s="12">
        <v>0</v>
      </c>
      <c r="E102" s="12">
        <v>0</v>
      </c>
      <c r="F102" s="12">
        <v>1</v>
      </c>
      <c r="G102" s="12">
        <v>1</v>
      </c>
      <c r="H102" s="21"/>
      <c r="I102" s="11">
        <v>41094</v>
      </c>
      <c r="J102" s="11">
        <v>41080</v>
      </c>
      <c r="K102" s="11">
        <v>18073</v>
      </c>
      <c r="L102" s="20">
        <f>(DAYS360(K102,I102))/365</f>
        <v>62.164383561643838</v>
      </c>
      <c r="M102" s="12" t="s">
        <v>370</v>
      </c>
      <c r="N102" s="12">
        <v>1</v>
      </c>
      <c r="O102" s="12">
        <v>0</v>
      </c>
      <c r="P102" s="12" t="s">
        <v>423</v>
      </c>
      <c r="Q102" s="12">
        <v>1</v>
      </c>
      <c r="R102" s="12" t="s">
        <v>466</v>
      </c>
      <c r="S102" s="12">
        <v>35</v>
      </c>
      <c r="T102" s="12" t="s">
        <v>368</v>
      </c>
      <c r="U102" s="12">
        <v>0</v>
      </c>
      <c r="V102" s="12">
        <v>0</v>
      </c>
      <c r="W102" s="12">
        <v>1</v>
      </c>
      <c r="X102" s="12" t="s">
        <v>367</v>
      </c>
      <c r="Y102" s="12">
        <v>3</v>
      </c>
      <c r="Z102" s="12">
        <v>1</v>
      </c>
      <c r="AA102" s="12" t="s">
        <v>366</v>
      </c>
      <c r="AB102" s="12" t="s">
        <v>365</v>
      </c>
      <c r="AC102" s="12">
        <v>3</v>
      </c>
      <c r="AD102" s="12" t="s">
        <v>1591</v>
      </c>
      <c r="AE102" s="12" t="s">
        <v>465</v>
      </c>
      <c r="AF102" s="12">
        <v>0</v>
      </c>
      <c r="AG102" s="12">
        <v>0</v>
      </c>
      <c r="AH102" s="12">
        <v>0</v>
      </c>
      <c r="AI102" s="11">
        <v>41094</v>
      </c>
      <c r="AJ102" s="11">
        <v>41137</v>
      </c>
      <c r="AK102" s="19" t="s">
        <v>1590</v>
      </c>
      <c r="AL102" s="19" t="s">
        <v>357</v>
      </c>
      <c r="AM102" s="12">
        <v>0</v>
      </c>
      <c r="AN102" s="12">
        <v>0</v>
      </c>
      <c r="AO102" s="12">
        <v>0</v>
      </c>
      <c r="AP102" s="12">
        <v>0</v>
      </c>
      <c r="AQ102" s="12">
        <v>0</v>
      </c>
      <c r="AR102" s="12">
        <v>0</v>
      </c>
      <c r="AS102" s="12">
        <v>0</v>
      </c>
      <c r="AT102" s="12">
        <v>0</v>
      </c>
      <c r="AU102" s="19" t="s">
        <v>1589</v>
      </c>
      <c r="AV102" s="12">
        <v>0.5</v>
      </c>
      <c r="AW102" s="12"/>
      <c r="AX102" s="12">
        <v>0</v>
      </c>
      <c r="AY102" s="19" t="s">
        <v>357</v>
      </c>
      <c r="AZ102" s="19" t="s">
        <v>362</v>
      </c>
      <c r="BA102" s="12">
        <f>8-2.5+0.5</f>
        <v>6</v>
      </c>
      <c r="BB102" s="12">
        <v>86.5</v>
      </c>
      <c r="BC102" s="12">
        <v>6</v>
      </c>
      <c r="BD102" s="12">
        <f>10-8.5+0.5</f>
        <v>2</v>
      </c>
      <c r="BE102" s="12">
        <v>298.7</v>
      </c>
      <c r="BF102" s="12" t="s">
        <v>1588</v>
      </c>
      <c r="BG102" s="12" t="s">
        <v>360</v>
      </c>
      <c r="BH102" s="12">
        <v>45</v>
      </c>
      <c r="BI102" s="12">
        <v>5.4</v>
      </c>
      <c r="BJ102" s="12">
        <v>1</v>
      </c>
      <c r="BK102" s="12">
        <v>50.4</v>
      </c>
      <c r="BL102" s="12">
        <v>28</v>
      </c>
      <c r="BM102" s="12">
        <v>1.8</v>
      </c>
      <c r="BN102" s="12" t="s">
        <v>359</v>
      </c>
      <c r="BO102" s="12">
        <v>0</v>
      </c>
      <c r="BP102" s="12">
        <v>1</v>
      </c>
      <c r="BQ102" s="12">
        <v>1</v>
      </c>
      <c r="BR102" s="11">
        <v>41099</v>
      </c>
      <c r="BS102" s="12" t="s">
        <v>91</v>
      </c>
      <c r="BT102" s="12" t="s">
        <v>90</v>
      </c>
      <c r="BU102" s="12">
        <v>2</v>
      </c>
      <c r="BV102" s="12">
        <v>1</v>
      </c>
      <c r="BW102" s="12">
        <v>7.1</v>
      </c>
      <c r="BX102" s="12">
        <v>0.67100000000000004</v>
      </c>
      <c r="BY102" s="12">
        <v>0.23899999999999999</v>
      </c>
      <c r="BZ102" s="12">
        <v>14.4</v>
      </c>
      <c r="CA102" s="12">
        <v>346</v>
      </c>
      <c r="CB102" s="12">
        <v>1.41</v>
      </c>
      <c r="CC102" s="12">
        <v>15.3</v>
      </c>
      <c r="CD102" s="12">
        <v>7.98</v>
      </c>
      <c r="CE102" s="12">
        <v>1</v>
      </c>
      <c r="CF102" s="11">
        <v>41205</v>
      </c>
      <c r="CG102" s="7">
        <f>CF102-AJ102</f>
        <v>68</v>
      </c>
      <c r="CH102" s="12" t="s">
        <v>1587</v>
      </c>
      <c r="CI102" s="12" t="s">
        <v>1586</v>
      </c>
      <c r="CJ102" s="17" t="s">
        <v>515</v>
      </c>
      <c r="CK102" s="12" t="s">
        <v>1585</v>
      </c>
      <c r="CL102" s="12" t="s">
        <v>1584</v>
      </c>
      <c r="CM102" s="12">
        <v>0</v>
      </c>
      <c r="CN102" s="12" t="str">
        <f>MID(CK102,4,1)</f>
        <v>3</v>
      </c>
      <c r="CO102" s="12" t="s">
        <v>1583</v>
      </c>
      <c r="CP102" s="12">
        <v>3</v>
      </c>
      <c r="CQ102" s="12" t="s">
        <v>1582</v>
      </c>
      <c r="CR102" s="12">
        <v>2.5</v>
      </c>
      <c r="CS102" s="12" t="s">
        <v>1581</v>
      </c>
      <c r="CT102" s="1" t="s">
        <v>511</v>
      </c>
      <c r="CU102" s="12" t="s">
        <v>472</v>
      </c>
      <c r="CV102" s="17">
        <v>0</v>
      </c>
      <c r="CW102" s="12">
        <v>6.2</v>
      </c>
      <c r="CX102" s="12">
        <v>6.7</v>
      </c>
      <c r="CY102" s="12">
        <v>0.1</v>
      </c>
      <c r="CZ102" s="12">
        <v>0</v>
      </c>
      <c r="DA102" s="12">
        <v>26</v>
      </c>
      <c r="DB102" s="13">
        <f>CZ102/DA102*100</f>
        <v>0</v>
      </c>
      <c r="DC102" s="12">
        <v>0</v>
      </c>
      <c r="DD102" s="12">
        <v>0</v>
      </c>
      <c r="DE102" s="12">
        <v>1</v>
      </c>
      <c r="DF102" s="12">
        <v>0</v>
      </c>
      <c r="DG102" s="12" t="s">
        <v>1580</v>
      </c>
      <c r="DH102" s="16">
        <v>0</v>
      </c>
      <c r="DI102" s="16">
        <v>0</v>
      </c>
      <c r="DJ102" s="11">
        <v>41305</v>
      </c>
      <c r="DK102" s="11"/>
      <c r="DL102" s="12">
        <f>(DJ102-I102)/365.25*12</f>
        <v>6.9322381930184811</v>
      </c>
      <c r="DM102" s="12">
        <v>1</v>
      </c>
      <c r="DN102" s="12" t="s">
        <v>1579</v>
      </c>
      <c r="DO102" s="11">
        <v>41305</v>
      </c>
      <c r="DP102" s="19" t="s">
        <v>45</v>
      </c>
      <c r="DQ102" s="16">
        <v>0</v>
      </c>
      <c r="DR102" s="11" t="s">
        <v>45</v>
      </c>
      <c r="DS102" s="10">
        <f>IF(DQ102=1, (DR102-$I102)/365.25*12, IF(DQ102=0, $DL102, "ERROR"))</f>
        <v>6.9322381930184811</v>
      </c>
      <c r="DT102" s="16">
        <v>0</v>
      </c>
      <c r="DU102" s="16">
        <v>0</v>
      </c>
      <c r="DV102" s="16">
        <v>0</v>
      </c>
      <c r="DW102" s="16">
        <f>DU102*(1-DV102)</f>
        <v>0</v>
      </c>
      <c r="DX102" s="16">
        <f>(1-DU102)*DV102</f>
        <v>0</v>
      </c>
      <c r="DY102" s="16">
        <f>DU102*DV102</f>
        <v>0</v>
      </c>
      <c r="DZ102" s="11" t="s">
        <v>45</v>
      </c>
      <c r="EA102" s="10">
        <f>IF(DT102=1, (DZ102-$I102)/365.25*12, IF(DT102=0, $DL102, "ERROR"))</f>
        <v>6.9322381930184811</v>
      </c>
      <c r="EB102" s="16">
        <v>0</v>
      </c>
      <c r="EC102" s="16">
        <v>0</v>
      </c>
      <c r="ED102" s="16">
        <f>1-((1-DQ102)*(1-DT102))</f>
        <v>0</v>
      </c>
      <c r="EE102" s="11" t="s">
        <v>45</v>
      </c>
      <c r="EF102" s="11" t="s">
        <v>45</v>
      </c>
      <c r="EG102" s="16" t="s">
        <v>45</v>
      </c>
      <c r="EH102" s="11" t="s">
        <v>45</v>
      </c>
      <c r="EI102" s="12">
        <v>1</v>
      </c>
      <c r="EJ102" s="16">
        <f>(1-DQ102)*DX102*(1-EI102)</f>
        <v>0</v>
      </c>
      <c r="EK102" s="11">
        <v>41305</v>
      </c>
      <c r="EL102" s="10">
        <f>IF(EI102=1, (EK102-$I102)/365.25*12, IF(EI102=0, $DL102, "ERROR"))</f>
        <v>6.9322381930184811</v>
      </c>
      <c r="EM102" s="11" t="s">
        <v>898</v>
      </c>
      <c r="EN102" s="16">
        <v>0</v>
      </c>
      <c r="EO102" s="16">
        <v>0</v>
      </c>
      <c r="EP102" s="16">
        <v>0</v>
      </c>
      <c r="EQ102" s="16">
        <v>1</v>
      </c>
      <c r="ER102" s="16">
        <v>0</v>
      </c>
      <c r="ES102" s="16">
        <v>0</v>
      </c>
      <c r="ET102" s="16">
        <v>0</v>
      </c>
      <c r="EU102" s="16">
        <v>0</v>
      </c>
      <c r="EV102" s="16">
        <v>0</v>
      </c>
      <c r="EW102" s="1">
        <f>1-((1-EP102)*(1-ET102)*(1-EU102)*(1-EV102))</f>
        <v>0</v>
      </c>
      <c r="EX102" s="16">
        <v>0</v>
      </c>
      <c r="EY102" s="7">
        <v>0</v>
      </c>
      <c r="EZ102" s="7">
        <v>0</v>
      </c>
      <c r="FA102" s="7">
        <v>0</v>
      </c>
      <c r="FB102" s="11" t="s">
        <v>45</v>
      </c>
      <c r="FC102" s="12">
        <v>1</v>
      </c>
      <c r="FD102" s="12">
        <v>1</v>
      </c>
      <c r="FE102" s="11"/>
      <c r="FF102" s="18">
        <v>41576</v>
      </c>
      <c r="FG102" s="3">
        <f>IF(FC102=1, FF102, IF(FD102=1, 44348, DJ102))</f>
        <v>41576</v>
      </c>
      <c r="FH102" s="13">
        <f>(FG102-I102)/365.25*12</f>
        <v>15.835728952772076</v>
      </c>
      <c r="FI102" s="20">
        <f>IF(DM102=1, (DO102-I102)/365.25*12, IF(DM102=0, DL102, "ERROR"))</f>
        <v>6.9322381930184811</v>
      </c>
      <c r="FJ102" s="14">
        <f>IF(OR(DM102,FC102), 1, 0)</f>
        <v>1</v>
      </c>
      <c r="FK102" s="11">
        <f>IF(DM102=1,IF(FC102=1,MIN(DO102,FF102),DO102),IF(FC102=1,FF102,DJ102))</f>
        <v>41305</v>
      </c>
      <c r="FL102" s="13">
        <f>(FK102-$I102)/365.25*12</f>
        <v>6.9322381930184811</v>
      </c>
      <c r="FM102" s="14">
        <f>IF(OR(ED102,FC102), 1, 0)</f>
        <v>1</v>
      </c>
      <c r="FN102" s="11">
        <f>IF(ED102=1,IF(FC102=1,MIN(EE102,FF102),EE102),IF(FC102=1,FF102,DJ102))</f>
        <v>41576</v>
      </c>
      <c r="FO102" s="13">
        <f>(FN102-$I102)/365.25*12</f>
        <v>15.835728952772076</v>
      </c>
      <c r="FP102" s="14">
        <f>IF(OR(EI102,FC102), 1, 0)</f>
        <v>1</v>
      </c>
      <c r="FQ102" s="11">
        <f>IF(EI102=1,IF(FC102=1,MIN(EK102,FF102),EK102),IF(FC102=1,FF102,DJ102))</f>
        <v>41305</v>
      </c>
      <c r="FR102" s="13">
        <f>(FQ102-$I102)/365.25*12</f>
        <v>6.9322381930184811</v>
      </c>
      <c r="FS102" s="12"/>
      <c r="FT102" s="12"/>
      <c r="FU102" s="12">
        <v>0</v>
      </c>
      <c r="FV102" s="12">
        <v>0</v>
      </c>
      <c r="FW102" s="12">
        <v>0</v>
      </c>
      <c r="FX102" s="12">
        <v>0</v>
      </c>
      <c r="FY102" s="12" t="s">
        <v>1578</v>
      </c>
      <c r="FZ102" s="12"/>
      <c r="GA102" s="1">
        <v>0</v>
      </c>
      <c r="GB102" s="1">
        <v>0</v>
      </c>
      <c r="GC102" s="1">
        <v>235.26570000000001</v>
      </c>
      <c r="GD102" s="1">
        <v>51.8718</v>
      </c>
      <c r="GE102" s="25">
        <v>10</v>
      </c>
      <c r="GF102" s="25">
        <v>2</v>
      </c>
      <c r="GG102" s="1">
        <v>255.72399999999999</v>
      </c>
      <c r="GH102" s="24">
        <v>76.734099999999998</v>
      </c>
    </row>
    <row r="103" spans="1:190" ht="12.75" customHeight="1">
      <c r="A103" s="1" t="s">
        <v>1085</v>
      </c>
      <c r="B103" s="15" t="s">
        <v>1084</v>
      </c>
      <c r="C103" s="1">
        <v>43510876</v>
      </c>
      <c r="D103" s="1">
        <v>0</v>
      </c>
      <c r="E103" s="1">
        <v>0</v>
      </c>
      <c r="F103" s="1">
        <v>1</v>
      </c>
      <c r="G103" s="12">
        <v>1</v>
      </c>
      <c r="I103" s="3">
        <v>42866</v>
      </c>
      <c r="J103" s="3">
        <v>42845</v>
      </c>
      <c r="K103" s="3">
        <v>19258</v>
      </c>
      <c r="L103" s="5">
        <f>(DAYS360(K103,I103))/365</f>
        <v>63.753424657534246</v>
      </c>
      <c r="M103" s="1" t="s">
        <v>5</v>
      </c>
      <c r="N103" s="1">
        <v>0</v>
      </c>
      <c r="O103" s="1">
        <v>0</v>
      </c>
      <c r="P103" s="1" t="s">
        <v>69</v>
      </c>
      <c r="Q103" s="1">
        <v>1</v>
      </c>
      <c r="R103" s="1" t="s">
        <v>18</v>
      </c>
      <c r="S103" s="1" t="s">
        <v>1083</v>
      </c>
      <c r="T103" s="1" t="s">
        <v>98</v>
      </c>
      <c r="U103" s="1">
        <v>1</v>
      </c>
      <c r="V103" s="1">
        <v>1</v>
      </c>
      <c r="W103" s="1">
        <v>0</v>
      </c>
      <c r="X103" s="1" t="s">
        <v>243</v>
      </c>
      <c r="Y103" s="1">
        <v>3</v>
      </c>
      <c r="Z103" s="1">
        <v>1</v>
      </c>
      <c r="AA103" s="1" t="s">
        <v>96</v>
      </c>
      <c r="AC103" s="1">
        <v>5</v>
      </c>
      <c r="AD103" s="1" t="s">
        <v>932</v>
      </c>
      <c r="AE103" s="1" t="s">
        <v>1082</v>
      </c>
      <c r="AF103" s="1">
        <v>1</v>
      </c>
      <c r="AG103" s="1">
        <v>1</v>
      </c>
      <c r="AH103" s="1">
        <v>1</v>
      </c>
      <c r="AI103" s="3">
        <v>42866</v>
      </c>
      <c r="AJ103" s="3">
        <v>42906</v>
      </c>
      <c r="AK103" s="6" t="s">
        <v>1081</v>
      </c>
      <c r="AL103" s="6" t="s">
        <v>123</v>
      </c>
      <c r="AM103" s="1">
        <v>0</v>
      </c>
      <c r="AN103" s="1">
        <v>0</v>
      </c>
      <c r="AO103" s="1">
        <v>0</v>
      </c>
      <c r="AP103" s="1">
        <v>0</v>
      </c>
      <c r="AQ103" s="1">
        <v>0</v>
      </c>
      <c r="AR103" s="1">
        <v>0</v>
      </c>
      <c r="AS103" s="12">
        <f>IF(AND(AM103=0,AU103&lt;=2), 1, 0)</f>
        <v>1</v>
      </c>
      <c r="AT103" s="12">
        <v>1</v>
      </c>
      <c r="AU103" s="1">
        <v>2</v>
      </c>
      <c r="AV103" s="1">
        <v>0.5</v>
      </c>
      <c r="AW103" s="1">
        <v>0.5</v>
      </c>
      <c r="AX103" s="6" t="s">
        <v>45</v>
      </c>
      <c r="AY103" s="6" t="s">
        <v>45</v>
      </c>
      <c r="AZ103" s="6" t="s">
        <v>92</v>
      </c>
      <c r="BA103" s="1">
        <f>6-0.6+0.3</f>
        <v>5.7</v>
      </c>
      <c r="BB103" s="1">
        <v>172.9</v>
      </c>
      <c r="BC103" s="1">
        <v>2</v>
      </c>
      <c r="BD103" s="1">
        <v>2</v>
      </c>
      <c r="BE103" s="1">
        <v>386.6</v>
      </c>
      <c r="BF103" s="1" t="s">
        <v>1080</v>
      </c>
      <c r="BG103" s="1">
        <v>45</v>
      </c>
      <c r="BH103" s="1">
        <v>45</v>
      </c>
      <c r="BI103" s="1">
        <v>0</v>
      </c>
      <c r="BJ103" s="1">
        <v>0</v>
      </c>
      <c r="BK103" s="1">
        <f>BH103+BI103</f>
        <v>45</v>
      </c>
      <c r="BL103" s="1">
        <v>25</v>
      </c>
      <c r="BM103" s="1">
        <v>1.8</v>
      </c>
      <c r="BN103" s="1" t="s">
        <v>62</v>
      </c>
      <c r="BO103" s="1">
        <v>1</v>
      </c>
      <c r="BP103" s="1">
        <v>1</v>
      </c>
      <c r="BQ103" s="1">
        <v>1</v>
      </c>
      <c r="BR103" s="3">
        <v>42866</v>
      </c>
      <c r="BS103" s="1" t="s">
        <v>61</v>
      </c>
      <c r="BT103" s="12" t="s">
        <v>60</v>
      </c>
      <c r="BU103" s="1">
        <v>5</v>
      </c>
      <c r="BV103" s="1">
        <v>1</v>
      </c>
      <c r="BW103" s="1">
        <v>7.83</v>
      </c>
      <c r="BX103" s="1">
        <v>0.61499999999999999</v>
      </c>
      <c r="BY103" s="1">
        <v>0.27600000000000002</v>
      </c>
      <c r="BZ103" s="1">
        <v>13.2</v>
      </c>
      <c r="CA103" s="1">
        <v>294</v>
      </c>
      <c r="CB103" s="1">
        <v>1.63</v>
      </c>
      <c r="CC103" s="1">
        <v>22.75</v>
      </c>
      <c r="CE103" s="1">
        <v>1</v>
      </c>
      <c r="CF103" s="3">
        <v>42936</v>
      </c>
      <c r="CG103" s="7">
        <f>CF103-AJ103</f>
        <v>30</v>
      </c>
      <c r="CH103" s="1" t="s">
        <v>1026</v>
      </c>
      <c r="CI103" s="12" t="s">
        <v>183</v>
      </c>
      <c r="CJ103" s="17" t="s">
        <v>182</v>
      </c>
      <c r="CK103" s="1" t="s">
        <v>811</v>
      </c>
      <c r="CL103" s="1" t="s">
        <v>45</v>
      </c>
      <c r="CM103" s="1">
        <v>1</v>
      </c>
      <c r="CN103" s="12" t="str">
        <f>MID(CK103,4,1)</f>
        <v>0</v>
      </c>
      <c r="CO103" s="1" t="s">
        <v>1025</v>
      </c>
      <c r="CP103" s="1">
        <v>0</v>
      </c>
      <c r="CQ103" s="1" t="s">
        <v>45</v>
      </c>
      <c r="CR103" s="1">
        <v>0</v>
      </c>
      <c r="CS103" s="1" t="s">
        <v>45</v>
      </c>
      <c r="CT103" s="1" t="s">
        <v>45</v>
      </c>
      <c r="CU103" s="1" t="s">
        <v>45</v>
      </c>
      <c r="CV103" s="1">
        <v>0</v>
      </c>
      <c r="CW103" s="1" t="s">
        <v>45</v>
      </c>
      <c r="CX103" s="1" t="s">
        <v>45</v>
      </c>
      <c r="CY103" s="1" t="s">
        <v>45</v>
      </c>
      <c r="CZ103" s="1">
        <v>0</v>
      </c>
      <c r="DA103" s="1">
        <v>89</v>
      </c>
      <c r="DB103" s="2">
        <f>CZ103/DA103*100</f>
        <v>0</v>
      </c>
      <c r="DC103" s="1">
        <v>0</v>
      </c>
      <c r="DD103" s="1">
        <v>0</v>
      </c>
      <c r="DE103" s="1">
        <v>0</v>
      </c>
      <c r="DF103" s="1">
        <v>0</v>
      </c>
      <c r="DG103" s="26" t="s">
        <v>1079</v>
      </c>
      <c r="DH103" s="7">
        <v>0</v>
      </c>
      <c r="DI103" s="7">
        <v>0</v>
      </c>
      <c r="DJ103" s="3">
        <v>44797</v>
      </c>
      <c r="DK103" s="1" t="s">
        <v>75</v>
      </c>
      <c r="DL103" s="12">
        <f>(DJ103-I103)/365.25*12</f>
        <v>63.441478439425055</v>
      </c>
      <c r="DM103" s="1">
        <v>0</v>
      </c>
      <c r="DN103" s="1" t="s">
        <v>45</v>
      </c>
      <c r="DO103" s="1" t="s">
        <v>45</v>
      </c>
      <c r="DP103" s="6" t="s">
        <v>45</v>
      </c>
      <c r="DQ103" s="7">
        <v>0</v>
      </c>
      <c r="DR103" s="3" t="s">
        <v>45</v>
      </c>
      <c r="DS103" s="10">
        <f>IF(DQ103=1, (DR103-$I103)/365.25*12, IF(DQ103=0, $DL103, "ERROR"))</f>
        <v>63.441478439425055</v>
      </c>
      <c r="DT103" s="7">
        <v>0</v>
      </c>
      <c r="DU103" s="7">
        <v>0</v>
      </c>
      <c r="DV103" s="7">
        <v>0</v>
      </c>
      <c r="DW103" s="16">
        <f>DU103*(1-DV103)</f>
        <v>0</v>
      </c>
      <c r="DX103" s="16">
        <f>(1-DU103)*DV103</f>
        <v>0</v>
      </c>
      <c r="DY103" s="16">
        <f>DU103*DV103</f>
        <v>0</v>
      </c>
      <c r="DZ103" s="3" t="s">
        <v>45</v>
      </c>
      <c r="EA103" s="10">
        <f>IF(DT103=1, (DZ103-$I103)/365.25*12, IF(DT103=0, $DL103, "ERROR"))</f>
        <v>63.441478439425055</v>
      </c>
      <c r="EB103" s="7">
        <v>0</v>
      </c>
      <c r="EC103" s="7">
        <v>0</v>
      </c>
      <c r="ED103" s="16">
        <f>1-((1-DQ103)*(1-DT103))</f>
        <v>0</v>
      </c>
      <c r="EE103" s="11" t="s">
        <v>45</v>
      </c>
      <c r="EF103" s="1" t="s">
        <v>45</v>
      </c>
      <c r="EG103" s="7" t="s">
        <v>45</v>
      </c>
      <c r="EH103" s="1" t="s">
        <v>45</v>
      </c>
      <c r="EI103" s="1">
        <v>0</v>
      </c>
      <c r="EJ103" s="16">
        <f>(1-DQ103)*DX103*(1-EI103)</f>
        <v>0</v>
      </c>
      <c r="EK103" s="1" t="s">
        <v>45</v>
      </c>
      <c r="EL103" s="10">
        <f>IF(EI103=1, (EK103-$I103)/365.25*12, IF(EI103=0, $DL103, "ERROR"))</f>
        <v>63.441478439425055</v>
      </c>
      <c r="EM103" s="1" t="s">
        <v>45</v>
      </c>
      <c r="EN103" s="1">
        <v>0</v>
      </c>
      <c r="EO103" s="1">
        <v>0</v>
      </c>
      <c r="EP103" s="1">
        <v>0</v>
      </c>
      <c r="EQ103" s="1">
        <v>0</v>
      </c>
      <c r="ER103" s="1">
        <v>0</v>
      </c>
      <c r="ES103" s="1">
        <v>0</v>
      </c>
      <c r="ET103" s="1">
        <v>0</v>
      </c>
      <c r="EU103" s="1">
        <v>0</v>
      </c>
      <c r="EV103" s="1">
        <v>0</v>
      </c>
      <c r="EW103" s="1">
        <f>1-((1-EP103)*(1-ET103)*(1-EU103)*(1-EV103))</f>
        <v>0</v>
      </c>
      <c r="EX103" s="7">
        <v>0</v>
      </c>
      <c r="EY103" s="7">
        <v>0</v>
      </c>
      <c r="EZ103" s="7">
        <v>0</v>
      </c>
      <c r="FA103" s="7">
        <v>0</v>
      </c>
      <c r="FB103" s="1" t="s">
        <v>45</v>
      </c>
      <c r="FC103" s="1">
        <v>0</v>
      </c>
      <c r="FD103" s="1">
        <v>1</v>
      </c>
      <c r="FF103" s="1" t="s">
        <v>45</v>
      </c>
      <c r="FG103" s="3">
        <f>IF(FC103=1, FF103, IF(FD103=1, 44348, DJ103))</f>
        <v>44348</v>
      </c>
      <c r="FH103" s="13">
        <f>(FG103-I103)/365.25*12</f>
        <v>48.689938398357292</v>
      </c>
      <c r="FI103" s="20">
        <f>IF(DM103=1, (DO103-I103)/365.25*12, IF(DM103=0, DL103, "ERROR"))</f>
        <v>63.441478439425055</v>
      </c>
      <c r="FJ103" s="14">
        <f>IF(OR(DM103,FC103), 1, 0)</f>
        <v>0</v>
      </c>
      <c r="FK103" s="11">
        <f>IF(DM103=1,IF(FC103=1,MIN(DO103,FF103),DO103),IF(FC103=1,FF103,DJ103))</f>
        <v>44797</v>
      </c>
      <c r="FL103" s="13">
        <f>(FK103-$I103)/365.25*12</f>
        <v>63.441478439425055</v>
      </c>
      <c r="FM103" s="14">
        <f>IF(OR(ED103,FC103), 1, 0)</f>
        <v>0</v>
      </c>
      <c r="FN103" s="11">
        <f>IF(ED103=1,IF(FC103=1,MIN(EE103,FF103),EE103),IF(FC103=1,FF103,DJ103))</f>
        <v>44797</v>
      </c>
      <c r="FO103" s="13">
        <f>(FN103-$I103)/365.25*12</f>
        <v>63.441478439425055</v>
      </c>
      <c r="FP103" s="14">
        <f>IF(OR(EI103,FC103), 1, 0)</f>
        <v>0</v>
      </c>
      <c r="FQ103" s="11">
        <f>IF(EI103=1,IF(FC103=1,MIN(EK103,FF103),EK103),IF(FC103=1,FF103,DJ103))</f>
        <v>44797</v>
      </c>
      <c r="FR103" s="13">
        <f>(FQ103-$I103)/365.25*12</f>
        <v>63.441478439425055</v>
      </c>
      <c r="FU103" s="1">
        <v>1</v>
      </c>
      <c r="FV103" s="1">
        <v>0</v>
      </c>
      <c r="FW103" s="1">
        <v>0</v>
      </c>
      <c r="FX103" s="1">
        <v>0</v>
      </c>
      <c r="GA103" s="1">
        <v>0</v>
      </c>
      <c r="GB103" s="1">
        <v>0</v>
      </c>
      <c r="GC103" s="1">
        <v>40.409100000000002</v>
      </c>
      <c r="GD103" s="1">
        <v>11.889799999999999</v>
      </c>
      <c r="GE103" s="25">
        <v>20</v>
      </c>
      <c r="GF103" s="25">
        <v>20</v>
      </c>
      <c r="GG103" s="1">
        <v>1817.6881000000001</v>
      </c>
      <c r="GH103" s="24">
        <v>1200.0755999999999</v>
      </c>
    </row>
    <row r="104" spans="1:190" ht="12.75" customHeight="1">
      <c r="A104" s="1" t="s">
        <v>1577</v>
      </c>
      <c r="B104" s="12" t="s">
        <v>1576</v>
      </c>
      <c r="C104" s="12">
        <v>43635890</v>
      </c>
      <c r="D104" s="12">
        <v>0</v>
      </c>
      <c r="E104" s="12">
        <v>0</v>
      </c>
      <c r="F104" s="12">
        <v>1</v>
      </c>
      <c r="G104" s="12">
        <v>1</v>
      </c>
      <c r="H104" s="21"/>
      <c r="I104" s="11">
        <v>41218</v>
      </c>
      <c r="J104" s="11">
        <v>41169</v>
      </c>
      <c r="K104" s="11">
        <v>17376</v>
      </c>
      <c r="L104" s="20">
        <f>(DAYS360(K104,I104))/365</f>
        <v>64.37534246575342</v>
      </c>
      <c r="M104" s="12" t="s">
        <v>370</v>
      </c>
      <c r="N104" s="12">
        <v>1</v>
      </c>
      <c r="O104" s="12">
        <v>0</v>
      </c>
      <c r="P104" s="12" t="s">
        <v>423</v>
      </c>
      <c r="Q104" s="12">
        <v>1</v>
      </c>
      <c r="R104" s="12" t="s">
        <v>466</v>
      </c>
      <c r="S104" s="12">
        <v>27</v>
      </c>
      <c r="T104" s="12" t="s">
        <v>67</v>
      </c>
      <c r="U104" s="12">
        <v>0</v>
      </c>
      <c r="V104" s="12">
        <v>0</v>
      </c>
      <c r="W104" s="12">
        <v>1</v>
      </c>
      <c r="X104" s="12" t="s">
        <v>1575</v>
      </c>
      <c r="Y104" s="12">
        <v>2</v>
      </c>
      <c r="Z104" s="12">
        <v>2</v>
      </c>
      <c r="AA104" s="12" t="s">
        <v>366</v>
      </c>
      <c r="AB104" s="12" t="s">
        <v>365</v>
      </c>
      <c r="AC104" s="12">
        <v>3</v>
      </c>
      <c r="AD104" s="12" t="s">
        <v>1574</v>
      </c>
      <c r="AE104" s="12"/>
      <c r="AF104" s="12">
        <v>0</v>
      </c>
      <c r="AG104" s="12">
        <v>0</v>
      </c>
      <c r="AH104" s="12">
        <v>0</v>
      </c>
      <c r="AI104" s="11">
        <v>41218</v>
      </c>
      <c r="AJ104" s="11">
        <v>41256</v>
      </c>
      <c r="AK104" s="19" t="s">
        <v>1573</v>
      </c>
      <c r="AL104" s="19" t="s">
        <v>357</v>
      </c>
      <c r="AM104" s="12">
        <v>1</v>
      </c>
      <c r="AN104" s="12">
        <v>1</v>
      </c>
      <c r="AO104" s="12">
        <v>0</v>
      </c>
      <c r="AP104" s="12">
        <v>0</v>
      </c>
      <c r="AQ104" s="12">
        <v>0</v>
      </c>
      <c r="AR104" s="12">
        <v>0</v>
      </c>
      <c r="AS104" s="12">
        <f>IF(AND(AM104=0,AU104&lt;=2), 1, 0)</f>
        <v>0</v>
      </c>
      <c r="AT104" s="12">
        <v>0</v>
      </c>
      <c r="AU104" s="12">
        <v>4.5</v>
      </c>
      <c r="AV104" s="12">
        <v>0.5</v>
      </c>
      <c r="AW104" s="12"/>
      <c r="AX104" s="12">
        <v>0</v>
      </c>
      <c r="AY104" s="19" t="s">
        <v>357</v>
      </c>
      <c r="AZ104" s="12">
        <v>1</v>
      </c>
      <c r="BA104" s="12">
        <v>2.5</v>
      </c>
      <c r="BB104" s="12">
        <v>176.2</v>
      </c>
      <c r="BC104" s="12">
        <f>8-1.5+0.5</f>
        <v>7</v>
      </c>
      <c r="BD104" s="12">
        <v>2</v>
      </c>
      <c r="BE104" s="12">
        <v>469.3</v>
      </c>
      <c r="BF104" s="12" t="s">
        <v>378</v>
      </c>
      <c r="BG104" s="12" t="s">
        <v>360</v>
      </c>
      <c r="BH104" s="12">
        <v>45</v>
      </c>
      <c r="BI104" s="12">
        <v>5.4</v>
      </c>
      <c r="BJ104" s="12">
        <v>1</v>
      </c>
      <c r="BK104" s="12">
        <f>BH104+BI104</f>
        <v>50.4</v>
      </c>
      <c r="BL104" s="12">
        <v>28</v>
      </c>
      <c r="BM104" s="12">
        <v>1.8</v>
      </c>
      <c r="BN104" s="12" t="s">
        <v>359</v>
      </c>
      <c r="BO104" s="12">
        <v>0</v>
      </c>
      <c r="BP104" s="12">
        <v>1</v>
      </c>
      <c r="BQ104" s="12">
        <v>1</v>
      </c>
      <c r="BR104" s="11">
        <v>41207</v>
      </c>
      <c r="BS104" s="12" t="s">
        <v>91</v>
      </c>
      <c r="BT104" s="12" t="s">
        <v>90</v>
      </c>
      <c r="BU104" s="12">
        <v>2</v>
      </c>
      <c r="BV104" s="12">
        <v>1</v>
      </c>
      <c r="BW104" s="12">
        <v>7.97</v>
      </c>
      <c r="BX104" s="12">
        <v>0.48799999999999999</v>
      </c>
      <c r="BY104" s="12">
        <v>0.38100000000000001</v>
      </c>
      <c r="BZ104" s="12">
        <v>12.7</v>
      </c>
      <c r="CA104" s="12">
        <v>341</v>
      </c>
      <c r="CB104" s="12">
        <v>1.56</v>
      </c>
      <c r="CC104" s="12">
        <v>14.66</v>
      </c>
      <c r="CD104" s="12">
        <v>3.7</v>
      </c>
      <c r="CE104" s="12">
        <v>1</v>
      </c>
      <c r="CF104" s="11">
        <v>41298</v>
      </c>
      <c r="CG104" s="7">
        <f>CF104-AJ104</f>
        <v>42</v>
      </c>
      <c r="CH104" s="12" t="s">
        <v>1572</v>
      </c>
      <c r="CI104" s="17" t="s">
        <v>460</v>
      </c>
      <c r="CJ104" s="17" t="s">
        <v>515</v>
      </c>
      <c r="CK104" s="12" t="s">
        <v>663</v>
      </c>
      <c r="CL104" s="12" t="s">
        <v>45</v>
      </c>
      <c r="CM104" s="12">
        <v>1</v>
      </c>
      <c r="CN104" s="12" t="str">
        <f>MID(CK104,4,1)</f>
        <v>0</v>
      </c>
      <c r="CO104" s="17" t="s">
        <v>1558</v>
      </c>
      <c r="CP104" s="17">
        <v>0</v>
      </c>
      <c r="CQ104" s="17" t="s">
        <v>357</v>
      </c>
      <c r="CR104" s="17">
        <v>0</v>
      </c>
      <c r="CS104" s="12" t="s">
        <v>357</v>
      </c>
      <c r="CT104" s="12" t="s">
        <v>357</v>
      </c>
      <c r="CU104" s="12" t="s">
        <v>357</v>
      </c>
      <c r="CV104" s="17">
        <v>0</v>
      </c>
      <c r="CW104" s="12" t="s">
        <v>357</v>
      </c>
      <c r="CX104" s="12" t="s">
        <v>357</v>
      </c>
      <c r="CY104" s="12" t="s">
        <v>357</v>
      </c>
      <c r="CZ104" s="12">
        <v>0</v>
      </c>
      <c r="DA104" s="12">
        <v>47</v>
      </c>
      <c r="DB104" s="13">
        <f>CZ104/DA104*100</f>
        <v>0</v>
      </c>
      <c r="DC104" s="12" t="s">
        <v>357</v>
      </c>
      <c r="DD104" s="12" t="s">
        <v>357</v>
      </c>
      <c r="DE104" s="12" t="s">
        <v>357</v>
      </c>
      <c r="DF104" s="12" t="s">
        <v>357</v>
      </c>
      <c r="DG104" s="12" t="s">
        <v>1571</v>
      </c>
      <c r="DH104" s="16">
        <v>0</v>
      </c>
      <c r="DI104" s="16">
        <v>0</v>
      </c>
      <c r="DJ104" s="11">
        <v>42951</v>
      </c>
      <c r="DK104" s="11" t="s">
        <v>1570</v>
      </c>
      <c r="DL104" s="12">
        <f>(DJ104-I104)/365.25*12</f>
        <v>56.936344969199176</v>
      </c>
      <c r="DM104" s="12">
        <v>1</v>
      </c>
      <c r="DN104" s="12" t="s">
        <v>1569</v>
      </c>
      <c r="DO104" s="11">
        <v>42941</v>
      </c>
      <c r="DP104" s="12" t="s">
        <v>357</v>
      </c>
      <c r="DQ104" s="16">
        <v>0</v>
      </c>
      <c r="DR104" s="11" t="s">
        <v>45</v>
      </c>
      <c r="DS104" s="10">
        <f>IF(DQ104=1, (DR104-$I104)/365.25*12, IF(DQ104=0, $DL104, "ERROR"))</f>
        <v>56.936344969199176</v>
      </c>
      <c r="DT104" s="16">
        <v>0</v>
      </c>
      <c r="DU104" s="16">
        <v>0</v>
      </c>
      <c r="DV104" s="16">
        <v>0</v>
      </c>
      <c r="DW104" s="16">
        <f>DU104*(1-DV104)</f>
        <v>0</v>
      </c>
      <c r="DX104" s="16">
        <f>(1-DU104)*DV104</f>
        <v>0</v>
      </c>
      <c r="DY104" s="16">
        <f>DU104*DV104</f>
        <v>0</v>
      </c>
      <c r="DZ104" s="11" t="s">
        <v>45</v>
      </c>
      <c r="EA104" s="10">
        <f>IF(DT104=1, (DZ104-$I104)/365.25*12, IF(DT104=0, $DL104, "ERROR"))</f>
        <v>56.936344969199176</v>
      </c>
      <c r="EB104" s="16">
        <v>0</v>
      </c>
      <c r="EC104" s="16">
        <v>0</v>
      </c>
      <c r="ED104" s="16">
        <f>1-((1-DQ104)*(1-DT104))</f>
        <v>0</v>
      </c>
      <c r="EE104" s="11" t="s">
        <v>45</v>
      </c>
      <c r="EF104" s="12" t="s">
        <v>1568</v>
      </c>
      <c r="EG104" s="16" t="s">
        <v>45</v>
      </c>
      <c r="EH104" s="12" t="s">
        <v>45</v>
      </c>
      <c r="EI104" s="12">
        <v>1</v>
      </c>
      <c r="EJ104" s="16">
        <f>(1-DQ104)*DX104*(1-EI104)</f>
        <v>0</v>
      </c>
      <c r="EK104" s="11">
        <v>42941</v>
      </c>
      <c r="EL104" s="10">
        <f>IF(EI104=1, (EK104-$I104)/365.25*12, IF(EI104=0, $DL104, "ERROR"))</f>
        <v>56.607802874743328</v>
      </c>
      <c r="EM104" s="12" t="s">
        <v>1567</v>
      </c>
      <c r="EN104" s="16">
        <v>1</v>
      </c>
      <c r="EO104" s="16">
        <v>0</v>
      </c>
      <c r="EP104" s="16">
        <v>0</v>
      </c>
      <c r="EQ104" s="16">
        <v>0</v>
      </c>
      <c r="ER104" s="16">
        <v>1</v>
      </c>
      <c r="ES104" s="16">
        <v>0</v>
      </c>
      <c r="ET104" s="16">
        <v>0</v>
      </c>
      <c r="EU104" s="16">
        <v>0</v>
      </c>
      <c r="EV104" s="16">
        <v>0</v>
      </c>
      <c r="EW104" s="1">
        <f>1-((1-EP104)*(1-ET104)*(1-EU104)*(1-EV104))</f>
        <v>0</v>
      </c>
      <c r="EX104" s="16">
        <v>0</v>
      </c>
      <c r="EY104" s="7">
        <v>0</v>
      </c>
      <c r="EZ104" s="7">
        <v>0</v>
      </c>
      <c r="FA104" s="7">
        <v>0</v>
      </c>
      <c r="FB104" s="12" t="s">
        <v>357</v>
      </c>
      <c r="FC104" s="12">
        <v>1</v>
      </c>
      <c r="FD104" s="12">
        <v>1</v>
      </c>
      <c r="FE104" s="12"/>
      <c r="FF104" s="30">
        <v>42971</v>
      </c>
      <c r="FG104" s="3">
        <f>IF(FC104=1, FF104, IF(FD104=1, 44348, DJ104))</f>
        <v>42971</v>
      </c>
      <c r="FH104" s="13">
        <f>(FG104-I104)/365.25*12</f>
        <v>57.593429158110879</v>
      </c>
      <c r="FI104" s="20">
        <f>IF(DM104=1, (DO104-I104)/365.25*12, IF(DM104=0, DL104, "ERROR"))</f>
        <v>56.607802874743328</v>
      </c>
      <c r="FJ104" s="14">
        <f>IF(OR(DM104,FC104), 1, 0)</f>
        <v>1</v>
      </c>
      <c r="FK104" s="11">
        <f>IF(DM104=1,IF(FC104=1,MIN(DO104,FF104),DO104),IF(FC104=1,FF104,DJ104))</f>
        <v>42941</v>
      </c>
      <c r="FL104" s="13">
        <f>(FK104-$I104)/365.25*12</f>
        <v>56.607802874743328</v>
      </c>
      <c r="FM104" s="14">
        <f>IF(OR(ED104,FC104), 1, 0)</f>
        <v>1</v>
      </c>
      <c r="FN104" s="11">
        <f>IF(ED104=1,IF(FC104=1,MIN(EE104,FF104),EE104),IF(FC104=1,FF104,DJ104))</f>
        <v>42971</v>
      </c>
      <c r="FO104" s="13">
        <f>(FN104-$I104)/365.25*12</f>
        <v>57.593429158110879</v>
      </c>
      <c r="FP104" s="14">
        <f>IF(OR(EI104,FC104), 1, 0)</f>
        <v>1</v>
      </c>
      <c r="FQ104" s="11">
        <f>IF(EI104=1,IF(FC104=1,MIN(EK104,FF104),EK104),IF(FC104=1,FF104,DJ104))</f>
        <v>42941</v>
      </c>
      <c r="FR104" s="13">
        <f>(FQ104-$I104)/365.25*12</f>
        <v>56.607802874743328</v>
      </c>
      <c r="FS104" s="12"/>
      <c r="FT104" s="12"/>
      <c r="FU104" s="12">
        <v>0</v>
      </c>
      <c r="FV104" s="12">
        <v>0</v>
      </c>
      <c r="FW104" s="12">
        <v>0</v>
      </c>
      <c r="FX104" s="12">
        <v>0</v>
      </c>
      <c r="FY104" s="12" t="s">
        <v>1566</v>
      </c>
      <c r="FZ104" s="12"/>
      <c r="GA104" s="1">
        <v>1</v>
      </c>
      <c r="GB104" s="1">
        <v>0</v>
      </c>
      <c r="GC104" s="1">
        <v>216.51419999999999</v>
      </c>
      <c r="GD104" s="1">
        <v>22.082599999999999</v>
      </c>
      <c r="GE104" s="25">
        <v>0</v>
      </c>
      <c r="GF104" s="25">
        <v>0</v>
      </c>
      <c r="GG104" s="1">
        <v>191.6593</v>
      </c>
      <c r="GH104" s="24">
        <v>169.7413</v>
      </c>
    </row>
    <row r="105" spans="1:190" ht="12.75" customHeight="1">
      <c r="A105" s="1" t="s">
        <v>1187</v>
      </c>
      <c r="B105" s="15" t="s">
        <v>1186</v>
      </c>
      <c r="C105" s="1">
        <v>43664254</v>
      </c>
      <c r="D105" s="1">
        <v>0</v>
      </c>
      <c r="E105" s="1">
        <v>0</v>
      </c>
      <c r="F105" s="1">
        <v>1</v>
      </c>
      <c r="G105" s="12">
        <v>1</v>
      </c>
      <c r="I105" s="3">
        <v>41211</v>
      </c>
      <c r="J105" s="3">
        <v>41184</v>
      </c>
      <c r="K105" s="3">
        <v>15729</v>
      </c>
      <c r="L105" s="5">
        <f>(DAYS360(K105,I105))/365</f>
        <v>68.810958904109583</v>
      </c>
      <c r="M105" s="1" t="s">
        <v>5</v>
      </c>
      <c r="N105" s="1">
        <v>1</v>
      </c>
      <c r="O105" s="1">
        <v>0</v>
      </c>
      <c r="P105" s="1" t="s">
        <v>69</v>
      </c>
      <c r="Q105" s="1">
        <v>1</v>
      </c>
      <c r="R105" s="1" t="s">
        <v>18</v>
      </c>
      <c r="S105" s="1">
        <v>22</v>
      </c>
      <c r="T105" s="1" t="s">
        <v>140</v>
      </c>
      <c r="U105" s="1">
        <v>1</v>
      </c>
      <c r="V105" s="1">
        <v>0</v>
      </c>
      <c r="W105" s="1">
        <v>0</v>
      </c>
      <c r="X105" s="1" t="s">
        <v>187</v>
      </c>
      <c r="Y105" s="1">
        <v>3</v>
      </c>
      <c r="Z105" s="1">
        <v>2</v>
      </c>
      <c r="AA105" s="1" t="s">
        <v>116</v>
      </c>
      <c r="AC105" s="1">
        <v>3</v>
      </c>
      <c r="AD105" s="1" t="s">
        <v>1185</v>
      </c>
      <c r="AE105" s="1" t="s">
        <v>114</v>
      </c>
      <c r="AF105" s="1">
        <v>0</v>
      </c>
      <c r="AG105" s="1">
        <v>0</v>
      </c>
      <c r="AH105" s="1">
        <v>0</v>
      </c>
      <c r="AI105" s="3">
        <v>41211</v>
      </c>
      <c r="AJ105" s="3">
        <v>41249</v>
      </c>
      <c r="AK105" s="6" t="s">
        <v>1184</v>
      </c>
      <c r="AL105" s="6" t="s">
        <v>123</v>
      </c>
      <c r="AM105" s="1">
        <v>0</v>
      </c>
      <c r="AN105" s="1">
        <v>0</v>
      </c>
      <c r="AO105" s="1">
        <v>0</v>
      </c>
      <c r="AP105" s="1">
        <v>0</v>
      </c>
      <c r="AQ105" s="1">
        <v>0</v>
      </c>
      <c r="AR105" s="1">
        <v>0</v>
      </c>
      <c r="AS105" s="12">
        <f>IF(AND(AM105=0,AU105&lt;=2), 1, 0)</f>
        <v>0</v>
      </c>
      <c r="AT105" s="12">
        <v>0</v>
      </c>
      <c r="AU105" s="1">
        <v>4.5</v>
      </c>
      <c r="AV105" s="1">
        <v>0.5</v>
      </c>
      <c r="AW105" s="1"/>
      <c r="AX105" s="1">
        <v>2</v>
      </c>
      <c r="AY105" s="6" t="s">
        <v>111</v>
      </c>
      <c r="AZ105" s="6" t="s">
        <v>111</v>
      </c>
      <c r="BA105" s="1">
        <v>7</v>
      </c>
      <c r="BB105" s="1">
        <v>226.3</v>
      </c>
      <c r="BC105" s="1">
        <v>2</v>
      </c>
      <c r="BD105" s="1">
        <v>4.5</v>
      </c>
      <c r="BE105" s="1">
        <v>475.2</v>
      </c>
      <c r="BF105" s="6" t="s">
        <v>123</v>
      </c>
      <c r="BG105" s="1">
        <v>45</v>
      </c>
      <c r="BH105" s="1">
        <v>45</v>
      </c>
      <c r="BI105" s="1">
        <v>0</v>
      </c>
      <c r="BJ105" s="1">
        <v>0</v>
      </c>
      <c r="BK105" s="1">
        <f>BH105+BI105</f>
        <v>45</v>
      </c>
      <c r="BL105" s="1">
        <v>25</v>
      </c>
      <c r="BM105" s="1">
        <v>1.8</v>
      </c>
      <c r="BN105" s="1" t="s">
        <v>110</v>
      </c>
      <c r="BO105" s="1">
        <v>0</v>
      </c>
      <c r="BP105" s="1">
        <v>1</v>
      </c>
      <c r="BQ105" s="1">
        <v>1</v>
      </c>
      <c r="BR105" s="3">
        <v>41211</v>
      </c>
      <c r="BS105" s="1" t="s">
        <v>109</v>
      </c>
      <c r="BT105" s="12" t="s">
        <v>90</v>
      </c>
      <c r="BU105" s="1">
        <v>2</v>
      </c>
      <c r="BV105" s="1">
        <v>1</v>
      </c>
      <c r="BW105" s="1">
        <v>6.5</v>
      </c>
      <c r="BX105" s="1">
        <v>0.77300000000000002</v>
      </c>
      <c r="BY105" s="1">
        <v>0.14000000000000001</v>
      </c>
      <c r="BZ105" s="1">
        <v>12.1</v>
      </c>
      <c r="CA105" s="1">
        <v>237</v>
      </c>
      <c r="CB105" s="1">
        <v>1.72</v>
      </c>
      <c r="CC105" s="1">
        <v>33.03</v>
      </c>
      <c r="CD105" s="1">
        <v>5.81</v>
      </c>
      <c r="CE105" s="1">
        <v>1</v>
      </c>
      <c r="CF105" s="3">
        <v>41299</v>
      </c>
      <c r="CG105" s="7">
        <f>CF105-AJ105</f>
        <v>50</v>
      </c>
      <c r="CH105" s="1" t="s">
        <v>1183</v>
      </c>
      <c r="CI105" s="12" t="s">
        <v>183</v>
      </c>
      <c r="CJ105" s="17" t="s">
        <v>182</v>
      </c>
      <c r="CK105" s="1" t="s">
        <v>181</v>
      </c>
      <c r="CL105" s="1" t="s">
        <v>1109</v>
      </c>
      <c r="CM105" s="1">
        <v>0</v>
      </c>
      <c r="CN105" s="12" t="str">
        <f>MID(CK105,4,1)</f>
        <v>3</v>
      </c>
      <c r="CO105" s="1" t="s">
        <v>1182</v>
      </c>
      <c r="CP105" s="1">
        <v>2</v>
      </c>
      <c r="CQ105" s="1" t="s">
        <v>1181</v>
      </c>
      <c r="CR105" s="1">
        <v>2.5</v>
      </c>
      <c r="CS105" s="1" t="s">
        <v>1002</v>
      </c>
      <c r="CT105" s="1" t="s">
        <v>511</v>
      </c>
      <c r="CU105" s="1" t="s">
        <v>454</v>
      </c>
      <c r="CV105" s="1">
        <v>0</v>
      </c>
      <c r="CW105" s="1">
        <v>1.6</v>
      </c>
      <c r="CX105" s="1">
        <v>8.5</v>
      </c>
      <c r="CY105" s="1">
        <v>0.1</v>
      </c>
      <c r="CZ105" s="1">
        <v>4</v>
      </c>
      <c r="DA105" s="1">
        <v>105</v>
      </c>
      <c r="DB105" s="2">
        <f>CZ105/DA105*100</f>
        <v>3.8095238095238098</v>
      </c>
      <c r="DC105" s="1">
        <v>1</v>
      </c>
      <c r="DD105" s="1">
        <v>0</v>
      </c>
      <c r="DE105" s="1">
        <v>0</v>
      </c>
      <c r="DF105" s="1">
        <v>0</v>
      </c>
      <c r="DG105" s="26" t="s">
        <v>1180</v>
      </c>
      <c r="DH105" s="7">
        <v>0</v>
      </c>
      <c r="DI105" s="7">
        <v>0</v>
      </c>
      <c r="DJ105" s="3">
        <v>41472</v>
      </c>
      <c r="DK105" s="1" t="s">
        <v>81</v>
      </c>
      <c r="DL105" s="12">
        <f>(DJ105-I105)/365.25*12</f>
        <v>8.5749486652977414</v>
      </c>
      <c r="DM105" s="1">
        <v>1</v>
      </c>
      <c r="DN105" s="1" t="s">
        <v>1179</v>
      </c>
      <c r="DO105" s="3">
        <v>41374</v>
      </c>
      <c r="DP105" s="6" t="s">
        <v>1098</v>
      </c>
      <c r="DQ105" s="7">
        <v>0</v>
      </c>
      <c r="DR105" s="3" t="s">
        <v>45</v>
      </c>
      <c r="DS105" s="10">
        <f>IF(DQ105=1, (DR105-$I105)/365.25*12, IF(DQ105=0, $DL105, "ERROR"))</f>
        <v>8.5749486652977414</v>
      </c>
      <c r="DT105" s="7">
        <v>1</v>
      </c>
      <c r="DU105" s="7">
        <v>1</v>
      </c>
      <c r="DV105" s="7">
        <v>0</v>
      </c>
      <c r="DW105" s="16">
        <f>DU105*(1-DV105)</f>
        <v>1</v>
      </c>
      <c r="DX105" s="16">
        <f>(1-DU105)*DV105</f>
        <v>0</v>
      </c>
      <c r="DY105" s="16">
        <f>DU105*DV105</f>
        <v>0</v>
      </c>
      <c r="DZ105" s="3">
        <v>41374</v>
      </c>
      <c r="EA105" s="10">
        <f>IF(DT105=1, (DZ105-$I105)/365.25*12, IF(DT105=0, $DL105, "ERROR"))</f>
        <v>5.3552361396303905</v>
      </c>
      <c r="EB105" s="7">
        <v>1</v>
      </c>
      <c r="EC105" s="7">
        <v>0</v>
      </c>
      <c r="ED105" s="16">
        <f>1-((1-DQ105)*(1-DT105))</f>
        <v>1</v>
      </c>
      <c r="EE105" s="11">
        <f>MIN(DR105,DZ105)</f>
        <v>41374</v>
      </c>
      <c r="EF105" s="1" t="s">
        <v>1178</v>
      </c>
      <c r="EG105" s="7" t="s">
        <v>45</v>
      </c>
      <c r="EH105" s="1" t="s">
        <v>45</v>
      </c>
      <c r="EI105" s="1">
        <v>1</v>
      </c>
      <c r="EJ105" s="16">
        <f>(1-DQ105)*DX105*(1-EI105)</f>
        <v>0</v>
      </c>
      <c r="EK105" s="3">
        <v>41374</v>
      </c>
      <c r="EL105" s="10">
        <f>IF(EI105=1, (EK105-$I105)/365.25*12, IF(EI105=0, $DL105, "ERROR"))</f>
        <v>5.3552361396303905</v>
      </c>
      <c r="EM105" s="1" t="s">
        <v>1177</v>
      </c>
      <c r="EN105" s="7">
        <v>0</v>
      </c>
      <c r="EO105" s="7">
        <v>0</v>
      </c>
      <c r="EP105" s="7">
        <v>0</v>
      </c>
      <c r="EQ105" s="7">
        <v>0</v>
      </c>
      <c r="ER105" s="7">
        <v>1</v>
      </c>
      <c r="ES105" s="7">
        <v>0</v>
      </c>
      <c r="ET105" s="7">
        <v>0</v>
      </c>
      <c r="EU105" s="7">
        <v>0</v>
      </c>
      <c r="EV105" s="7">
        <v>0</v>
      </c>
      <c r="EW105" s="1">
        <f>1-((1-EP105)*(1-ET105)*(1-EU105)*(1-EV105))</f>
        <v>0</v>
      </c>
      <c r="EX105" s="7">
        <v>0</v>
      </c>
      <c r="EY105" s="7">
        <v>0</v>
      </c>
      <c r="EZ105" s="7">
        <v>0</v>
      </c>
      <c r="FA105" s="7">
        <v>0</v>
      </c>
      <c r="FB105" s="1" t="s">
        <v>45</v>
      </c>
      <c r="FC105" s="1">
        <v>1</v>
      </c>
      <c r="FD105" s="1">
        <v>1</v>
      </c>
      <c r="FF105" s="3">
        <v>41478</v>
      </c>
      <c r="FG105" s="3">
        <f>IF(FC105=1, FF105, IF(FD105=1, 44348, DJ105))</f>
        <v>41478</v>
      </c>
      <c r="FH105" s="13">
        <f>(FG105-I105)/365.25*12</f>
        <v>8.772073921971252</v>
      </c>
      <c r="FI105" s="20">
        <f>IF(DM105=1, (DO105-I105)/365.25*12, IF(DM105=0, DL105, "ERROR"))</f>
        <v>5.3552361396303905</v>
      </c>
      <c r="FJ105" s="14">
        <f>IF(OR(DM105,FC105), 1, 0)</f>
        <v>1</v>
      </c>
      <c r="FK105" s="11">
        <f>IF(DM105=1,IF(FC105=1,MIN(DO105,FF105),DO105),IF(FC105=1,FF105,DJ105))</f>
        <v>41374</v>
      </c>
      <c r="FL105" s="13">
        <f>(FK105-$I105)/365.25*12</f>
        <v>5.3552361396303905</v>
      </c>
      <c r="FM105" s="14">
        <f>IF(OR(ED105,FC105), 1, 0)</f>
        <v>1</v>
      </c>
      <c r="FN105" s="11">
        <f>IF(ED105=1,IF(FC105=1,MIN(EE105,FF105),EE105),IF(FC105=1,FF105,DJ105))</f>
        <v>41374</v>
      </c>
      <c r="FO105" s="13">
        <f>(FN105-$I105)/365.25*12</f>
        <v>5.3552361396303905</v>
      </c>
      <c r="FP105" s="14">
        <f>IF(OR(EI105,FC105), 1, 0)</f>
        <v>1</v>
      </c>
      <c r="FQ105" s="11">
        <f>IF(EI105=1,IF(FC105=1,MIN(EK105,FF105),EK105),IF(FC105=1,FF105,DJ105))</f>
        <v>41374</v>
      </c>
      <c r="FR105" s="13">
        <f>(FQ105-$I105)/365.25*12</f>
        <v>5.3552361396303905</v>
      </c>
      <c r="FU105" s="1">
        <v>0</v>
      </c>
      <c r="FV105" s="1">
        <v>0</v>
      </c>
      <c r="FW105" s="1">
        <v>0</v>
      </c>
      <c r="FX105" s="1">
        <v>0</v>
      </c>
      <c r="GA105" s="1">
        <v>0</v>
      </c>
      <c r="GB105" s="1">
        <v>0</v>
      </c>
      <c r="GC105" s="1">
        <v>900.01210000000003</v>
      </c>
      <c r="GD105" s="1">
        <v>82.077200000000005</v>
      </c>
      <c r="GE105" s="25">
        <v>0</v>
      </c>
      <c r="GF105" s="25">
        <v>0</v>
      </c>
      <c r="GG105" s="1">
        <v>795.47479999999996</v>
      </c>
      <c r="GH105" s="24">
        <v>780.60479999999995</v>
      </c>
    </row>
    <row r="106" spans="1:190" ht="12.75" customHeight="1">
      <c r="A106" s="1" t="s">
        <v>1205</v>
      </c>
      <c r="B106" s="15" t="s">
        <v>1204</v>
      </c>
      <c r="C106" s="1">
        <v>43876141</v>
      </c>
      <c r="D106" s="1">
        <v>0</v>
      </c>
      <c r="E106" s="1">
        <v>0</v>
      </c>
      <c r="F106" s="1">
        <v>1</v>
      </c>
      <c r="G106" s="12">
        <v>1</v>
      </c>
      <c r="H106" s="1" t="s">
        <v>1203</v>
      </c>
      <c r="I106" s="3">
        <v>41295</v>
      </c>
      <c r="J106" s="3">
        <v>41248</v>
      </c>
      <c r="K106" s="3">
        <v>17583</v>
      </c>
      <c r="L106" s="5">
        <f>(DAYS360(K106,I106))/365</f>
        <v>64.030136986301372</v>
      </c>
      <c r="M106" s="1" t="s">
        <v>5</v>
      </c>
      <c r="N106" s="1">
        <v>1</v>
      </c>
      <c r="O106" s="1">
        <v>0</v>
      </c>
      <c r="P106" s="1" t="s">
        <v>69</v>
      </c>
      <c r="Q106" s="1">
        <v>1</v>
      </c>
      <c r="R106" s="1" t="s">
        <v>1202</v>
      </c>
      <c r="S106" s="1">
        <v>25</v>
      </c>
      <c r="T106" s="1" t="s">
        <v>80</v>
      </c>
      <c r="U106" s="1">
        <v>0</v>
      </c>
      <c r="V106" s="1">
        <v>1</v>
      </c>
      <c r="W106" s="1">
        <v>0</v>
      </c>
      <c r="X106" s="1" t="s">
        <v>1201</v>
      </c>
      <c r="Y106" s="1">
        <v>3</v>
      </c>
      <c r="Z106" s="1">
        <v>1</v>
      </c>
      <c r="AA106" s="1" t="s">
        <v>96</v>
      </c>
      <c r="AC106" s="1">
        <v>5</v>
      </c>
      <c r="AD106" s="1" t="s">
        <v>1200</v>
      </c>
      <c r="AE106" s="1" t="s">
        <v>114</v>
      </c>
      <c r="AF106" s="1">
        <v>1</v>
      </c>
      <c r="AG106" s="1">
        <v>0</v>
      </c>
      <c r="AH106" s="1">
        <v>0</v>
      </c>
      <c r="AI106" s="3">
        <v>41295</v>
      </c>
      <c r="AJ106" s="3">
        <v>41340</v>
      </c>
      <c r="AK106" s="6" t="s">
        <v>1199</v>
      </c>
      <c r="AL106" s="6" t="s">
        <v>123</v>
      </c>
      <c r="AM106" s="1">
        <v>0</v>
      </c>
      <c r="AN106" s="1">
        <v>0</v>
      </c>
      <c r="AO106" s="1">
        <v>0</v>
      </c>
      <c r="AP106" s="1">
        <v>0</v>
      </c>
      <c r="AQ106" s="1">
        <v>0</v>
      </c>
      <c r="AR106" s="1">
        <v>0</v>
      </c>
      <c r="AS106" s="12">
        <f>IF(AND(AM106=0,AU106&lt;=2), 1, 0)</f>
        <v>0</v>
      </c>
      <c r="AT106" s="12">
        <v>0</v>
      </c>
      <c r="AU106" s="1">
        <v>4</v>
      </c>
      <c r="AV106" s="6" t="s">
        <v>111</v>
      </c>
      <c r="AX106" s="1">
        <v>2</v>
      </c>
      <c r="AY106" s="6" t="s">
        <v>111</v>
      </c>
      <c r="AZ106" s="6" t="s">
        <v>111</v>
      </c>
      <c r="BA106" s="1">
        <v>8.5</v>
      </c>
      <c r="BB106" s="1">
        <v>227.7</v>
      </c>
      <c r="BC106" s="1">
        <v>4</v>
      </c>
      <c r="BD106" s="1">
        <v>4</v>
      </c>
      <c r="BE106" s="1">
        <v>538.1</v>
      </c>
      <c r="BF106" s="6" t="s">
        <v>123</v>
      </c>
      <c r="BG106" s="1">
        <v>45</v>
      </c>
      <c r="BH106" s="1">
        <v>45</v>
      </c>
      <c r="BI106" s="1">
        <v>5.4</v>
      </c>
      <c r="BJ106" s="1">
        <v>1</v>
      </c>
      <c r="BK106" s="1">
        <f>BH106+BI106</f>
        <v>50.4</v>
      </c>
      <c r="BL106" s="1">
        <v>28</v>
      </c>
      <c r="BM106" s="1">
        <v>1.8</v>
      </c>
      <c r="BN106" s="1" t="s">
        <v>110</v>
      </c>
      <c r="BO106" s="1">
        <v>0</v>
      </c>
      <c r="BP106" s="1">
        <v>1</v>
      </c>
      <c r="BQ106" s="1">
        <v>1</v>
      </c>
      <c r="BR106" s="3">
        <v>41295</v>
      </c>
      <c r="BS106" s="1" t="s">
        <v>61</v>
      </c>
      <c r="BT106" s="12" t="s">
        <v>60</v>
      </c>
      <c r="BU106" s="1">
        <v>5</v>
      </c>
      <c r="BV106" s="1">
        <v>1</v>
      </c>
      <c r="BW106" s="1">
        <v>7.28</v>
      </c>
      <c r="BX106" s="1">
        <v>0.70599999999999996</v>
      </c>
      <c r="BY106" s="1">
        <v>0.19700000000000001</v>
      </c>
      <c r="BZ106" s="1">
        <v>15.2</v>
      </c>
      <c r="CA106" s="1">
        <v>353</v>
      </c>
      <c r="CB106" s="1">
        <v>1.6</v>
      </c>
      <c r="CC106" s="1">
        <v>16.16</v>
      </c>
      <c r="CD106" s="1">
        <v>8.0299999999999994</v>
      </c>
      <c r="CE106" s="1">
        <v>1</v>
      </c>
      <c r="CF106" s="3">
        <v>41389</v>
      </c>
      <c r="CG106" s="7">
        <f>CF106-AJ106</f>
        <v>49</v>
      </c>
      <c r="CH106" s="1" t="s">
        <v>1198</v>
      </c>
      <c r="CI106" s="12" t="s">
        <v>183</v>
      </c>
      <c r="CJ106" s="17" t="s">
        <v>182</v>
      </c>
      <c r="CK106" s="1" t="s">
        <v>811</v>
      </c>
      <c r="CL106" s="1" t="s">
        <v>45</v>
      </c>
      <c r="CM106" s="1">
        <v>1</v>
      </c>
      <c r="CN106" s="12" t="str">
        <f>MID(CK106,4,1)</f>
        <v>0</v>
      </c>
      <c r="CO106" s="1" t="s">
        <v>662</v>
      </c>
      <c r="CP106" s="1">
        <v>0</v>
      </c>
      <c r="CQ106" s="1" t="s">
        <v>45</v>
      </c>
      <c r="CR106" s="1">
        <v>0</v>
      </c>
      <c r="CS106" s="1" t="s">
        <v>45</v>
      </c>
      <c r="CT106" s="1" t="s">
        <v>45</v>
      </c>
      <c r="CU106" s="1" t="s">
        <v>45</v>
      </c>
      <c r="CV106" s="1">
        <v>0</v>
      </c>
      <c r="CW106" s="1" t="s">
        <v>45</v>
      </c>
      <c r="CX106" s="1" t="s">
        <v>45</v>
      </c>
      <c r="CY106" s="1" t="s">
        <v>45</v>
      </c>
      <c r="CZ106" s="1">
        <v>0</v>
      </c>
      <c r="DA106" s="1">
        <v>50</v>
      </c>
      <c r="DB106" s="2">
        <f>CZ106/DA106*100</f>
        <v>0</v>
      </c>
      <c r="DC106" s="1">
        <v>0</v>
      </c>
      <c r="DD106" s="1">
        <v>0</v>
      </c>
      <c r="DE106" s="1">
        <v>0</v>
      </c>
      <c r="DF106" s="1">
        <v>1</v>
      </c>
      <c r="DG106" s="26" t="s">
        <v>1197</v>
      </c>
      <c r="DH106" s="7">
        <v>0</v>
      </c>
      <c r="DI106" s="7">
        <v>0</v>
      </c>
      <c r="DJ106" s="3">
        <v>42690</v>
      </c>
      <c r="DK106" s="1" t="s">
        <v>154</v>
      </c>
      <c r="DL106" s="12">
        <f>(DJ106-I106)/365.25*12</f>
        <v>45.831622176591374</v>
      </c>
      <c r="DM106" s="1">
        <v>1</v>
      </c>
      <c r="DN106" s="1" t="s">
        <v>1196</v>
      </c>
      <c r="DO106" s="3">
        <v>42689</v>
      </c>
      <c r="DP106" s="6" t="s">
        <v>133</v>
      </c>
      <c r="DQ106" s="7">
        <v>0</v>
      </c>
      <c r="DR106" s="3" t="s">
        <v>45</v>
      </c>
      <c r="DS106" s="10">
        <f>IF(DQ106=1, (DR106-$I106)/365.25*12, IF(DQ106=0, $DL106, "ERROR"))</f>
        <v>45.831622176591374</v>
      </c>
      <c r="DT106" s="7">
        <v>0</v>
      </c>
      <c r="DU106" s="7">
        <v>0</v>
      </c>
      <c r="DV106" s="7">
        <v>0</v>
      </c>
      <c r="DW106" s="16">
        <f>DU106*(1-DV106)</f>
        <v>0</v>
      </c>
      <c r="DX106" s="16">
        <f>(1-DU106)*DV106</f>
        <v>0</v>
      </c>
      <c r="DY106" s="16">
        <f>DU106*DV106</f>
        <v>0</v>
      </c>
      <c r="DZ106" s="3" t="s">
        <v>45</v>
      </c>
      <c r="EA106" s="10">
        <f>IF(DT106=1, (DZ106-$I106)/365.25*12, IF(DT106=0, $DL106, "ERROR"))</f>
        <v>45.831622176591374</v>
      </c>
      <c r="EB106" s="7">
        <v>0</v>
      </c>
      <c r="EC106" s="7">
        <v>0</v>
      </c>
      <c r="ED106" s="16">
        <f>1-((1-DQ106)*(1-DT106))</f>
        <v>0</v>
      </c>
      <c r="EE106" s="11" t="s">
        <v>45</v>
      </c>
      <c r="EF106" s="1" t="s">
        <v>45</v>
      </c>
      <c r="EG106" s="7" t="s">
        <v>45</v>
      </c>
      <c r="EH106" s="1" t="s">
        <v>45</v>
      </c>
      <c r="EI106" s="1">
        <v>1</v>
      </c>
      <c r="EJ106" s="16">
        <f>(1-DQ106)*DX106*(1-EI106)</f>
        <v>0</v>
      </c>
      <c r="EK106" s="3">
        <v>42689</v>
      </c>
      <c r="EL106" s="10">
        <f>IF(EI106=1, (EK106-$I106)/365.25*12, IF(EI106=0, $DL106, "ERROR"))</f>
        <v>45.798767967145793</v>
      </c>
      <c r="EM106" s="1" t="s">
        <v>1196</v>
      </c>
      <c r="EN106" s="7">
        <v>1</v>
      </c>
      <c r="EO106" s="7">
        <v>0</v>
      </c>
      <c r="EP106" s="7">
        <v>0</v>
      </c>
      <c r="EQ106" s="7">
        <v>0</v>
      </c>
      <c r="ER106" s="7">
        <v>0</v>
      </c>
      <c r="ES106" s="7">
        <v>0</v>
      </c>
      <c r="ET106" s="7">
        <v>0</v>
      </c>
      <c r="EU106" s="7">
        <v>0</v>
      </c>
      <c r="EV106" s="7">
        <v>0</v>
      </c>
      <c r="EW106" s="1">
        <f>1-((1-EP106)*(1-ET106)*(1-EU106)*(1-EV106))</f>
        <v>0</v>
      </c>
      <c r="EX106" s="7">
        <v>0</v>
      </c>
      <c r="EY106" s="7">
        <v>0</v>
      </c>
      <c r="EZ106" s="7">
        <v>0</v>
      </c>
      <c r="FA106" s="7">
        <v>0</v>
      </c>
      <c r="FB106" s="1" t="s">
        <v>45</v>
      </c>
      <c r="FC106" s="1">
        <v>1</v>
      </c>
      <c r="FD106" s="1">
        <v>1</v>
      </c>
      <c r="FF106" s="3">
        <v>42825</v>
      </c>
      <c r="FG106" s="3">
        <f>IF(FC106=1, FF106, IF(FD106=1, 44348, DJ106))</f>
        <v>42825</v>
      </c>
      <c r="FH106" s="13">
        <f>(FG106-I106)/365.25*12</f>
        <v>50.266940451745384</v>
      </c>
      <c r="FI106" s="20">
        <f>IF(DM106=1, (DO106-I106)/365.25*12, IF(DM106=0, DL106, "ERROR"))</f>
        <v>45.798767967145793</v>
      </c>
      <c r="FJ106" s="14">
        <f>IF(OR(DM106,FC106), 1, 0)</f>
        <v>1</v>
      </c>
      <c r="FK106" s="11">
        <f>IF(DM106=1,IF(FC106=1,MIN(DO106,FF106),DO106),IF(FC106=1,FF106,DJ106))</f>
        <v>42689</v>
      </c>
      <c r="FL106" s="13">
        <f>(FK106-$I106)/365.25*12</f>
        <v>45.798767967145793</v>
      </c>
      <c r="FM106" s="14">
        <f>IF(OR(ED106,FC106), 1, 0)</f>
        <v>1</v>
      </c>
      <c r="FN106" s="11">
        <f>IF(ED106=1,IF(FC106=1,MIN(EE106,FF106),EE106),IF(FC106=1,FF106,DJ106))</f>
        <v>42825</v>
      </c>
      <c r="FO106" s="13">
        <f>(FN106-$I106)/365.25*12</f>
        <v>50.266940451745384</v>
      </c>
      <c r="FP106" s="14">
        <f>IF(OR(EI106,FC106), 1, 0)</f>
        <v>1</v>
      </c>
      <c r="FQ106" s="11">
        <f>IF(EI106=1,IF(FC106=1,MIN(EK106,FF106),EK106),IF(FC106=1,FF106,DJ106))</f>
        <v>42689</v>
      </c>
      <c r="FR106" s="13">
        <f>(FQ106-$I106)/365.25*12</f>
        <v>45.798767967145793</v>
      </c>
      <c r="FU106" s="1">
        <v>0</v>
      </c>
      <c r="FV106" s="1">
        <v>0</v>
      </c>
      <c r="FW106" s="1">
        <v>0</v>
      </c>
      <c r="FX106" s="1">
        <v>0</v>
      </c>
      <c r="FY106" s="1" t="s">
        <v>1195</v>
      </c>
      <c r="GA106" s="1">
        <v>0</v>
      </c>
      <c r="GB106" s="1">
        <v>0</v>
      </c>
      <c r="GC106" s="1">
        <v>42.582799999999999</v>
      </c>
      <c r="GD106" s="1">
        <v>14.129200000000001</v>
      </c>
      <c r="GE106" s="25">
        <v>10</v>
      </c>
      <c r="GF106" s="25">
        <v>10</v>
      </c>
      <c r="GG106" s="1">
        <v>483.11930000000001</v>
      </c>
      <c r="GH106" s="24">
        <v>530.77530000000002</v>
      </c>
    </row>
    <row r="107" spans="1:190" ht="12.75" customHeight="1">
      <c r="A107" s="1" t="s">
        <v>1021</v>
      </c>
      <c r="B107" s="15" t="s">
        <v>1020</v>
      </c>
      <c r="C107" s="1">
        <v>43986877</v>
      </c>
      <c r="D107" s="1">
        <v>0</v>
      </c>
      <c r="E107" s="1">
        <v>0</v>
      </c>
      <c r="F107" s="1">
        <v>1</v>
      </c>
      <c r="G107" s="12">
        <v>1</v>
      </c>
      <c r="I107" s="3">
        <v>41309</v>
      </c>
      <c r="J107" s="3">
        <v>41283</v>
      </c>
      <c r="K107" s="3">
        <v>21382</v>
      </c>
      <c r="L107" s="5">
        <f>(DAYS360(K107,I107))/365</f>
        <v>53.802739726027397</v>
      </c>
      <c r="M107" s="1" t="s">
        <v>5</v>
      </c>
      <c r="N107" s="1">
        <v>1</v>
      </c>
      <c r="O107" s="1">
        <v>0</v>
      </c>
      <c r="P107" s="1" t="s">
        <v>81</v>
      </c>
      <c r="Q107" s="1">
        <v>2</v>
      </c>
      <c r="R107" s="1" t="s">
        <v>18</v>
      </c>
      <c r="S107" s="1">
        <v>30</v>
      </c>
      <c r="T107" s="1" t="s">
        <v>80</v>
      </c>
      <c r="U107" s="1">
        <v>0</v>
      </c>
      <c r="V107" s="1">
        <v>1</v>
      </c>
      <c r="W107" s="1">
        <v>0</v>
      </c>
      <c r="X107" s="1" t="s">
        <v>117</v>
      </c>
      <c r="Y107" s="1">
        <v>3</v>
      </c>
      <c r="Z107" s="1">
        <v>1</v>
      </c>
      <c r="AA107" s="1" t="s">
        <v>116</v>
      </c>
      <c r="AC107" s="1">
        <v>3</v>
      </c>
      <c r="AD107" s="1" t="s">
        <v>1019</v>
      </c>
      <c r="AE107" s="1" t="s">
        <v>148</v>
      </c>
      <c r="AF107" s="1">
        <v>0</v>
      </c>
      <c r="AG107" s="1">
        <v>0</v>
      </c>
      <c r="AH107" s="1">
        <v>0</v>
      </c>
      <c r="AI107" s="3">
        <v>41309</v>
      </c>
      <c r="AJ107" s="3">
        <v>41348</v>
      </c>
      <c r="AK107" s="6" t="s">
        <v>1018</v>
      </c>
      <c r="AM107" s="1">
        <v>0</v>
      </c>
      <c r="AN107" s="1">
        <v>0</v>
      </c>
      <c r="AO107" s="1">
        <v>0</v>
      </c>
      <c r="AP107" s="1">
        <v>0</v>
      </c>
      <c r="AQ107" s="1">
        <v>0</v>
      </c>
      <c r="AR107" s="1">
        <v>0</v>
      </c>
      <c r="AS107" s="12">
        <f>IF(AND(AM107=0,AU107&lt;=2), 1, 0)</f>
        <v>0</v>
      </c>
      <c r="AT107" s="12">
        <v>0</v>
      </c>
      <c r="AU107" s="1">
        <v>4</v>
      </c>
      <c r="AV107" s="6" t="s">
        <v>111</v>
      </c>
      <c r="AX107" s="1">
        <v>2</v>
      </c>
      <c r="AY107" s="6" t="s">
        <v>111</v>
      </c>
      <c r="AZ107" s="6" t="s">
        <v>111</v>
      </c>
      <c r="BA107" s="1">
        <v>6</v>
      </c>
      <c r="BB107" s="1">
        <v>195.5</v>
      </c>
      <c r="BC107" s="1">
        <v>3</v>
      </c>
      <c r="BD107" s="1">
        <f>11.5-8+0.5</f>
        <v>4</v>
      </c>
      <c r="BE107" s="1">
        <v>541.70000000000005</v>
      </c>
      <c r="BG107" s="1">
        <v>45</v>
      </c>
      <c r="BH107" s="1">
        <v>45</v>
      </c>
      <c r="BI107" s="1">
        <v>5.4</v>
      </c>
      <c r="BJ107" s="1">
        <v>1</v>
      </c>
      <c r="BK107" s="1">
        <f>BH107+BI107</f>
        <v>50.4</v>
      </c>
      <c r="BL107" s="1">
        <v>28</v>
      </c>
      <c r="BM107" s="1">
        <v>1.8</v>
      </c>
      <c r="BN107" s="1" t="s">
        <v>110</v>
      </c>
      <c r="BO107" s="1">
        <v>0</v>
      </c>
      <c r="BP107" s="1">
        <v>1</v>
      </c>
      <c r="BQ107" s="1">
        <v>1</v>
      </c>
      <c r="BR107" s="3">
        <v>41309</v>
      </c>
      <c r="BS107" s="1" t="s">
        <v>109</v>
      </c>
      <c r="BT107" s="12" t="s">
        <v>90</v>
      </c>
      <c r="BU107" s="1">
        <v>2</v>
      </c>
      <c r="BV107" s="1">
        <v>1</v>
      </c>
      <c r="BW107" s="1">
        <v>10.78</v>
      </c>
      <c r="BX107" s="1">
        <v>0.57899999999999996</v>
      </c>
      <c r="BY107" s="1">
        <v>0.308</v>
      </c>
      <c r="BZ107" s="1">
        <v>15.9</v>
      </c>
      <c r="CA107" s="1">
        <v>342</v>
      </c>
      <c r="CB107" s="1">
        <v>1.89</v>
      </c>
      <c r="CC107" s="1">
        <v>22.3</v>
      </c>
      <c r="CD107" s="1">
        <v>6.2</v>
      </c>
      <c r="CE107" s="1">
        <v>1</v>
      </c>
      <c r="CF107" s="3">
        <v>41397</v>
      </c>
      <c r="CG107" s="7">
        <f>CF107-AJ107</f>
        <v>49</v>
      </c>
      <c r="CH107" s="1" t="s">
        <v>1017</v>
      </c>
      <c r="CI107" s="17" t="s">
        <v>460</v>
      </c>
      <c r="CJ107" s="1" t="s">
        <v>515</v>
      </c>
      <c r="CK107" s="1" t="s">
        <v>1016</v>
      </c>
      <c r="CL107" s="1" t="s">
        <v>753</v>
      </c>
      <c r="CM107" s="1">
        <v>0</v>
      </c>
      <c r="CN107" s="12" t="str">
        <f>MID(CK107,4,1)</f>
        <v>1</v>
      </c>
      <c r="CO107" s="1" t="s">
        <v>604</v>
      </c>
      <c r="CP107" s="1">
        <v>1</v>
      </c>
      <c r="CQ107" s="1" t="s">
        <v>1015</v>
      </c>
      <c r="CR107" s="1">
        <v>0.8</v>
      </c>
      <c r="CS107" s="1" t="s">
        <v>1014</v>
      </c>
      <c r="CT107" s="1" t="s">
        <v>978</v>
      </c>
      <c r="CU107" s="1" t="s">
        <v>472</v>
      </c>
      <c r="CV107" s="1">
        <v>0</v>
      </c>
      <c r="CW107" s="1">
        <v>0.8</v>
      </c>
      <c r="CX107" s="1">
        <v>9.6999999999999993</v>
      </c>
      <c r="CY107" s="1">
        <v>0.9</v>
      </c>
      <c r="CZ107" s="1">
        <v>3</v>
      </c>
      <c r="DA107" s="1">
        <v>35</v>
      </c>
      <c r="DB107" s="2">
        <f>CZ107/DA107*100</f>
        <v>8.5714285714285712</v>
      </c>
      <c r="DC107" s="1">
        <v>0</v>
      </c>
      <c r="DD107" s="1">
        <v>0</v>
      </c>
      <c r="DE107" s="1">
        <v>0</v>
      </c>
      <c r="DF107" s="1">
        <v>0</v>
      </c>
      <c r="DG107" s="26" t="s">
        <v>1013</v>
      </c>
      <c r="DH107" s="7">
        <v>0</v>
      </c>
      <c r="DI107" s="7">
        <v>0</v>
      </c>
      <c r="DJ107" s="3">
        <v>43447</v>
      </c>
      <c r="DK107" s="1" t="s">
        <v>108</v>
      </c>
      <c r="DL107" s="1">
        <f>(DJ107-I107)/365.25*12</f>
        <v>70.242299794661193</v>
      </c>
      <c r="DM107" s="1">
        <v>1</v>
      </c>
      <c r="DN107" s="1" t="s">
        <v>1012</v>
      </c>
      <c r="DO107" s="3">
        <v>42865</v>
      </c>
      <c r="DP107" s="6" t="s">
        <v>133</v>
      </c>
      <c r="DQ107" s="7">
        <v>0</v>
      </c>
      <c r="DR107" s="3" t="s">
        <v>45</v>
      </c>
      <c r="DS107" s="10">
        <f>IF(DQ107=1, (DR107-$I107)/365.25*12, IF(DQ107=0, $DL107, "ERROR"))</f>
        <v>70.242299794661193</v>
      </c>
      <c r="DT107" s="7">
        <v>0</v>
      </c>
      <c r="DU107" s="7">
        <v>0</v>
      </c>
      <c r="DV107" s="7">
        <v>0</v>
      </c>
      <c r="DW107" s="16">
        <f>DU107*(1-DV107)</f>
        <v>0</v>
      </c>
      <c r="DX107" s="16">
        <f>(1-DU107)*DV107</f>
        <v>0</v>
      </c>
      <c r="DY107" s="16">
        <f>DU107*DV107</f>
        <v>0</v>
      </c>
      <c r="DZ107" s="3" t="s">
        <v>45</v>
      </c>
      <c r="EA107" s="10">
        <f>IF(DT107=1, (DZ107-$I107)/365.25*12, IF(DT107=0, $DL107, "ERROR"))</f>
        <v>70.242299794661193</v>
      </c>
      <c r="EB107" s="7">
        <v>0</v>
      </c>
      <c r="EC107" s="7">
        <v>0</v>
      </c>
      <c r="ED107" s="16">
        <f>1-((1-DQ107)*(1-DT107))</f>
        <v>0</v>
      </c>
      <c r="EE107" s="11" t="s">
        <v>45</v>
      </c>
      <c r="EF107" s="1" t="s">
        <v>45</v>
      </c>
      <c r="EG107" s="7" t="s">
        <v>45</v>
      </c>
      <c r="EH107" s="1" t="s">
        <v>45</v>
      </c>
      <c r="EI107" s="1">
        <v>1</v>
      </c>
      <c r="EJ107" s="16">
        <f>(1-DQ107)*DX107*(1-EI107)</f>
        <v>0</v>
      </c>
      <c r="EK107" s="3">
        <v>42865</v>
      </c>
      <c r="EL107" s="10">
        <f>IF(EI107=1, (EK107-$I107)/365.25*12, IF(EI107=0, $DL107, "ERROR"))</f>
        <v>51.121149897330596</v>
      </c>
      <c r="EM107" s="1" t="s">
        <v>1012</v>
      </c>
      <c r="EN107" s="7">
        <v>0</v>
      </c>
      <c r="EO107" s="7">
        <v>0</v>
      </c>
      <c r="EP107" s="7">
        <v>0</v>
      </c>
      <c r="EQ107" s="7">
        <v>1</v>
      </c>
      <c r="ER107" s="7">
        <v>0</v>
      </c>
      <c r="ES107" s="7">
        <v>1</v>
      </c>
      <c r="ET107" s="7">
        <v>1</v>
      </c>
      <c r="EU107" s="7">
        <v>0</v>
      </c>
      <c r="EV107" s="7">
        <v>0</v>
      </c>
      <c r="EW107" s="1">
        <f>1-((1-EP107)*(1-ET107)*(1-EU107)*(1-EV107))</f>
        <v>1</v>
      </c>
      <c r="EX107" s="7">
        <v>0</v>
      </c>
      <c r="EY107" s="7">
        <v>0</v>
      </c>
      <c r="EZ107" s="7">
        <v>1</v>
      </c>
      <c r="FA107" s="7">
        <v>0</v>
      </c>
      <c r="FB107" s="1" t="s">
        <v>45</v>
      </c>
      <c r="FC107" s="1">
        <v>1</v>
      </c>
      <c r="FD107" s="1">
        <v>1</v>
      </c>
      <c r="FE107" s="1" t="s">
        <v>1011</v>
      </c>
      <c r="FF107" s="3">
        <v>43453</v>
      </c>
      <c r="FG107" s="3">
        <f>IF(FC107=1, FF107, IF(FD107=1, 44348, DJ107))</f>
        <v>43453</v>
      </c>
      <c r="FH107" s="13">
        <f>(FG107-I107)/365.25*12</f>
        <v>70.439425051334709</v>
      </c>
      <c r="FI107" s="20">
        <f>IF(DM107=1, (DO107-I107)/365.25*12, IF(DM107=0, DL107, "ERROR"))</f>
        <v>51.121149897330596</v>
      </c>
      <c r="FJ107" s="14">
        <f>IF(OR(DM107,FC107), 1, 0)</f>
        <v>1</v>
      </c>
      <c r="FK107" s="11">
        <f>IF(DM107=1,IF(FC107=1,MIN(DO107,FF107),DO107),IF(FC107=1,FF107,DJ107))</f>
        <v>42865</v>
      </c>
      <c r="FL107" s="13">
        <f>(FK107-$I107)/365.25*12</f>
        <v>51.121149897330596</v>
      </c>
      <c r="FM107" s="14">
        <f>IF(OR(ED107,FC107), 1, 0)</f>
        <v>1</v>
      </c>
      <c r="FN107" s="11">
        <f>IF(ED107=1,IF(FC107=1,MIN(EE107,FF107),EE107),IF(FC107=1,FF107,DJ107))</f>
        <v>43453</v>
      </c>
      <c r="FO107" s="13">
        <f>(FN107-$I107)/365.25*12</f>
        <v>70.439425051334709</v>
      </c>
      <c r="FP107" s="14">
        <f>IF(OR(EI107,FC107), 1, 0)</f>
        <v>1</v>
      </c>
      <c r="FQ107" s="11">
        <f>IF(EI107=1,IF(FC107=1,MIN(EK107,FF107),EK107),IF(FC107=1,FF107,DJ107))</f>
        <v>42865</v>
      </c>
      <c r="FR107" s="13">
        <f>(FQ107-$I107)/365.25*12</f>
        <v>51.121149897330596</v>
      </c>
      <c r="FU107" s="1">
        <v>0</v>
      </c>
      <c r="FV107" s="1">
        <v>0</v>
      </c>
      <c r="FW107" s="1">
        <v>0</v>
      </c>
      <c r="FX107" s="1">
        <v>0</v>
      </c>
      <c r="GA107" s="1">
        <v>10</v>
      </c>
      <c r="GB107" s="1">
        <v>10</v>
      </c>
      <c r="GC107" s="1">
        <v>1238.0998</v>
      </c>
      <c r="GD107" s="1">
        <v>517.12019999999995</v>
      </c>
      <c r="GE107" s="25">
        <v>0</v>
      </c>
      <c r="GF107" s="25">
        <v>0</v>
      </c>
      <c r="GG107" s="1">
        <v>819.09159999999997</v>
      </c>
      <c r="GH107" s="24">
        <v>375.63130000000001</v>
      </c>
    </row>
    <row r="108" spans="1:190" ht="12.75" customHeight="1">
      <c r="A108" s="1" t="s">
        <v>865</v>
      </c>
      <c r="B108" s="1" t="s">
        <v>864</v>
      </c>
      <c r="C108" s="1">
        <v>44266963</v>
      </c>
      <c r="D108" s="1">
        <v>1</v>
      </c>
      <c r="E108" s="1">
        <v>0</v>
      </c>
      <c r="F108" s="1">
        <v>1</v>
      </c>
      <c r="G108" s="1">
        <v>1</v>
      </c>
      <c r="I108" s="3">
        <v>44201</v>
      </c>
      <c r="J108" s="3">
        <v>44181</v>
      </c>
      <c r="K108" s="3">
        <v>23390</v>
      </c>
      <c r="L108" s="5">
        <f>(DAYS360(K108,I108))/365</f>
        <v>56.194520547945203</v>
      </c>
      <c r="M108" s="1" t="s">
        <v>5</v>
      </c>
      <c r="N108" s="1">
        <v>1</v>
      </c>
      <c r="O108" s="1">
        <v>0</v>
      </c>
      <c r="P108" s="1" t="s">
        <v>45</v>
      </c>
      <c r="Q108" s="1" t="s">
        <v>45</v>
      </c>
      <c r="R108" s="1" t="s">
        <v>18</v>
      </c>
      <c r="S108" s="1" t="s">
        <v>863</v>
      </c>
      <c r="T108" s="1" t="s">
        <v>80</v>
      </c>
      <c r="U108" s="1">
        <v>0</v>
      </c>
      <c r="V108" s="1">
        <v>1</v>
      </c>
      <c r="W108" s="1">
        <v>0</v>
      </c>
      <c r="X108" s="1" t="s">
        <v>862</v>
      </c>
      <c r="Y108" s="27">
        <v>3</v>
      </c>
      <c r="Z108" s="1">
        <v>2</v>
      </c>
      <c r="AA108" s="1" t="s">
        <v>116</v>
      </c>
      <c r="AC108" s="1">
        <v>3</v>
      </c>
      <c r="AD108" s="1" t="s">
        <v>861</v>
      </c>
      <c r="AE108" s="1" t="s">
        <v>114</v>
      </c>
      <c r="AF108" s="1">
        <v>0</v>
      </c>
      <c r="AG108" s="1">
        <v>0</v>
      </c>
      <c r="AH108" s="1">
        <v>0</v>
      </c>
      <c r="AI108" s="3">
        <v>44201</v>
      </c>
      <c r="AJ108" s="3">
        <v>44230</v>
      </c>
      <c r="BA108" s="1">
        <v>6.5</v>
      </c>
      <c r="BG108" s="1">
        <v>44</v>
      </c>
      <c r="BH108" s="1">
        <v>22</v>
      </c>
      <c r="BI108" s="1">
        <v>0</v>
      </c>
      <c r="BJ108" s="1">
        <v>0</v>
      </c>
      <c r="BK108" s="1">
        <v>44</v>
      </c>
      <c r="BL108" s="1">
        <v>22</v>
      </c>
      <c r="BM108" s="1">
        <v>2</v>
      </c>
      <c r="BN108" s="1" t="s">
        <v>62</v>
      </c>
      <c r="BO108" s="1">
        <v>1</v>
      </c>
      <c r="BP108" s="1">
        <v>1</v>
      </c>
      <c r="BQ108" s="1">
        <v>1</v>
      </c>
      <c r="BR108" s="3">
        <v>44201</v>
      </c>
      <c r="BS108" s="1" t="s">
        <v>61</v>
      </c>
      <c r="BT108" s="12" t="s">
        <v>60</v>
      </c>
      <c r="BU108" s="1">
        <v>5</v>
      </c>
      <c r="BV108" s="1">
        <v>1</v>
      </c>
      <c r="CE108" s="1">
        <v>1</v>
      </c>
      <c r="CF108" s="3">
        <v>44273</v>
      </c>
      <c r="CG108" s="7">
        <f>CF108-AJ108</f>
        <v>43</v>
      </c>
      <c r="CH108" s="1" t="s">
        <v>860</v>
      </c>
      <c r="CI108" s="17" t="s">
        <v>460</v>
      </c>
      <c r="CJ108" s="1" t="s">
        <v>182</v>
      </c>
      <c r="CK108" s="1" t="s">
        <v>859</v>
      </c>
      <c r="CL108" s="1" t="s">
        <v>45</v>
      </c>
      <c r="CM108" s="1">
        <v>0</v>
      </c>
      <c r="CN108" s="12" t="str">
        <f>MID(CK108,4,1)</f>
        <v>0</v>
      </c>
      <c r="CO108" s="1" t="s">
        <v>765</v>
      </c>
      <c r="CP108" s="1">
        <v>0</v>
      </c>
      <c r="CQ108" s="1" t="s">
        <v>45</v>
      </c>
      <c r="CR108" s="1">
        <v>0</v>
      </c>
      <c r="CS108" s="1" t="s">
        <v>45</v>
      </c>
      <c r="CT108" s="1" t="s">
        <v>45</v>
      </c>
      <c r="CU108" s="1" t="s">
        <v>45</v>
      </c>
      <c r="CV108" s="1">
        <v>0</v>
      </c>
      <c r="CW108" s="1" t="s">
        <v>45</v>
      </c>
      <c r="CX108" s="1" t="s">
        <v>45</v>
      </c>
      <c r="CY108" s="1" t="s">
        <v>45</v>
      </c>
      <c r="CZ108" s="1">
        <v>3</v>
      </c>
      <c r="DA108" s="1">
        <v>92</v>
      </c>
      <c r="DB108" s="2">
        <f>CZ108/DA108*100</f>
        <v>3.2608695652173911</v>
      </c>
      <c r="DC108" s="1">
        <v>0</v>
      </c>
      <c r="DD108" s="1">
        <v>0</v>
      </c>
      <c r="DE108" s="1">
        <v>0</v>
      </c>
      <c r="DF108" s="1">
        <v>0</v>
      </c>
      <c r="DG108" s="26" t="s">
        <v>858</v>
      </c>
      <c r="DH108" s="7">
        <v>0</v>
      </c>
      <c r="DI108" s="7">
        <v>0</v>
      </c>
      <c r="DJ108" s="3">
        <v>44909</v>
      </c>
      <c r="DK108" s="9" t="s">
        <v>857</v>
      </c>
      <c r="DL108" s="1">
        <f>(DJ108-I108)/365.25*12</f>
        <v>23.260780287474333</v>
      </c>
      <c r="DM108" s="1">
        <v>1</v>
      </c>
      <c r="DN108" s="1" t="s">
        <v>856</v>
      </c>
      <c r="DO108" s="3">
        <v>44293</v>
      </c>
      <c r="DP108" s="6" t="s">
        <v>133</v>
      </c>
      <c r="DQ108" s="7">
        <v>0</v>
      </c>
      <c r="DT108" s="7">
        <v>0</v>
      </c>
      <c r="DU108" s="7">
        <v>0</v>
      </c>
      <c r="DV108" s="7">
        <v>0</v>
      </c>
      <c r="DW108" s="7">
        <f>DU108*(1-DV108)</f>
        <v>0</v>
      </c>
      <c r="DX108" s="7">
        <f>(1-DU108)*DV108</f>
        <v>0</v>
      </c>
      <c r="DY108" s="7">
        <f>DU108*DV108</f>
        <v>0</v>
      </c>
      <c r="EB108" s="7">
        <v>0</v>
      </c>
      <c r="EC108" s="7">
        <v>0</v>
      </c>
      <c r="ED108" s="7">
        <f>1-((1-DQ108)*(1-DT108))</f>
        <v>0</v>
      </c>
      <c r="EI108" s="1">
        <v>1</v>
      </c>
      <c r="EJ108" s="7">
        <f>(1-DQ108)*DX108*(1-EI108)</f>
        <v>0</v>
      </c>
      <c r="EN108" s="7">
        <v>1</v>
      </c>
      <c r="EQ108" s="7">
        <v>1</v>
      </c>
      <c r="ES108" s="7">
        <v>1</v>
      </c>
      <c r="FC108" s="6" t="s">
        <v>50</v>
      </c>
      <c r="FD108" s="1">
        <v>0</v>
      </c>
      <c r="FF108" s="1" t="s">
        <v>45</v>
      </c>
      <c r="FI108" s="20">
        <f>IF(DM108=1, (DO108-I108)/365.25*12, IF(DM108=0, DL108, "ERROR"))</f>
        <v>3.0225872689938393</v>
      </c>
      <c r="GA108" s="1">
        <v>5</v>
      </c>
      <c r="GB108" s="1">
        <v>5</v>
      </c>
      <c r="GC108" s="1">
        <v>523.97310000000004</v>
      </c>
      <c r="GD108" s="1">
        <v>20.1478</v>
      </c>
      <c r="GE108" s="25">
        <v>20</v>
      </c>
      <c r="GF108" s="25">
        <v>20</v>
      </c>
      <c r="GG108" s="1">
        <v>359.4862</v>
      </c>
      <c r="GH108" s="24">
        <v>252.2295</v>
      </c>
    </row>
    <row r="109" spans="1:190" ht="12.75" customHeight="1">
      <c r="A109" s="1" t="s">
        <v>1289</v>
      </c>
      <c r="B109" s="15" t="s">
        <v>1288</v>
      </c>
      <c r="C109" s="1">
        <v>44284334</v>
      </c>
      <c r="D109" s="1">
        <v>0</v>
      </c>
      <c r="E109" s="1">
        <v>0</v>
      </c>
      <c r="F109" s="1">
        <v>1</v>
      </c>
      <c r="G109" s="12">
        <v>1</v>
      </c>
      <c r="I109" s="3">
        <v>43243</v>
      </c>
      <c r="J109" s="3">
        <v>43216</v>
      </c>
      <c r="K109" s="3">
        <v>17256</v>
      </c>
      <c r="L109" s="5">
        <f>(DAYS360(K109,I109))/365</f>
        <v>70.172602739726031</v>
      </c>
      <c r="M109" s="1" t="s">
        <v>5</v>
      </c>
      <c r="N109" s="1">
        <v>1</v>
      </c>
      <c r="O109" s="1">
        <v>0</v>
      </c>
      <c r="P109" s="1" t="s">
        <v>69</v>
      </c>
      <c r="Q109" s="1">
        <v>1</v>
      </c>
      <c r="R109" s="1" t="s">
        <v>209</v>
      </c>
      <c r="S109" s="1" t="s">
        <v>68</v>
      </c>
      <c r="T109" s="1" t="s">
        <v>67</v>
      </c>
      <c r="U109" s="1">
        <v>0</v>
      </c>
      <c r="V109" s="1">
        <v>0</v>
      </c>
      <c r="W109" s="1">
        <v>1</v>
      </c>
      <c r="X109" s="1" t="s">
        <v>296</v>
      </c>
      <c r="Y109" s="1">
        <v>2</v>
      </c>
      <c r="Z109" s="1">
        <v>1</v>
      </c>
      <c r="AA109" s="1" t="s">
        <v>65</v>
      </c>
      <c r="AC109" s="1">
        <v>2</v>
      </c>
      <c r="AD109" s="1" t="s">
        <v>1287</v>
      </c>
      <c r="AE109" s="1" t="s">
        <v>114</v>
      </c>
      <c r="AF109" s="1">
        <v>0</v>
      </c>
      <c r="AG109" s="1">
        <v>0</v>
      </c>
      <c r="AH109" s="1">
        <v>0</v>
      </c>
      <c r="AI109" s="3">
        <v>43243</v>
      </c>
      <c r="AJ109" s="3">
        <v>43279</v>
      </c>
      <c r="AK109" s="6" t="s">
        <v>1286</v>
      </c>
      <c r="AL109" s="6" t="s">
        <v>123</v>
      </c>
      <c r="AM109" s="1">
        <v>1</v>
      </c>
      <c r="AN109" s="1">
        <v>1</v>
      </c>
      <c r="AO109" s="1">
        <v>0</v>
      </c>
      <c r="AP109" s="1">
        <v>0</v>
      </c>
      <c r="AQ109" s="1">
        <v>0</v>
      </c>
      <c r="AR109" s="1">
        <v>0</v>
      </c>
      <c r="AS109" s="12">
        <f>IF(AND(AM109=0,AU109&lt;=2), 1, 0)</f>
        <v>0</v>
      </c>
      <c r="AT109" s="12">
        <v>0</v>
      </c>
      <c r="AU109" s="1">
        <v>2</v>
      </c>
      <c r="AV109" s="1">
        <v>0.5</v>
      </c>
      <c r="AW109" s="1"/>
      <c r="AX109" s="6" t="s">
        <v>45</v>
      </c>
      <c r="AY109" s="6" t="s">
        <v>45</v>
      </c>
      <c r="AZ109" s="6" t="s">
        <v>46</v>
      </c>
      <c r="BA109" s="1">
        <f>16.2-10.5+0.3</f>
        <v>5.9999999999999991</v>
      </c>
      <c r="BB109" s="1">
        <f>53.7+160.2</f>
        <v>213.89999999999998</v>
      </c>
      <c r="BC109" s="1">
        <f>3.3+10.2+0.3</f>
        <v>13.8</v>
      </c>
      <c r="BD109" s="1">
        <v>2</v>
      </c>
      <c r="BE109" s="1">
        <v>533.79999999999995</v>
      </c>
      <c r="BF109" s="1" t="s">
        <v>123</v>
      </c>
      <c r="BG109" s="1">
        <v>45</v>
      </c>
      <c r="BH109" s="1">
        <v>45</v>
      </c>
      <c r="BI109" s="1">
        <v>0</v>
      </c>
      <c r="BJ109" s="1">
        <v>0</v>
      </c>
      <c r="BK109" s="1">
        <f>BH109+BI109</f>
        <v>45</v>
      </c>
      <c r="BL109" s="1">
        <v>25</v>
      </c>
      <c r="BM109" s="1">
        <v>1.8</v>
      </c>
      <c r="BN109" s="1" t="s">
        <v>62</v>
      </c>
      <c r="BO109" s="1">
        <v>1</v>
      </c>
      <c r="BP109" s="1">
        <v>1</v>
      </c>
      <c r="BQ109" s="1">
        <v>1</v>
      </c>
      <c r="BR109" s="3">
        <v>43243</v>
      </c>
      <c r="BS109" s="1" t="s">
        <v>61</v>
      </c>
      <c r="BT109" s="12" t="s">
        <v>60</v>
      </c>
      <c r="BU109" s="1">
        <v>5</v>
      </c>
      <c r="BV109" s="1">
        <v>1</v>
      </c>
      <c r="BW109" s="1">
        <v>4.42</v>
      </c>
      <c r="BX109" s="1">
        <v>0.64700000000000002</v>
      </c>
      <c r="BY109" s="1">
        <v>0.24</v>
      </c>
      <c r="BZ109" s="1">
        <v>14.1</v>
      </c>
      <c r="CA109" s="1">
        <v>186</v>
      </c>
      <c r="CB109" s="1">
        <v>1.7</v>
      </c>
      <c r="CC109" s="1">
        <v>18.2</v>
      </c>
      <c r="CD109" s="1">
        <v>9.6</v>
      </c>
      <c r="CE109" s="1">
        <v>1</v>
      </c>
      <c r="CF109" s="3">
        <v>43333</v>
      </c>
      <c r="CG109" s="7">
        <f>CF109-AJ109</f>
        <v>54</v>
      </c>
      <c r="CH109" s="1" t="s">
        <v>1285</v>
      </c>
      <c r="CI109" s="1" t="s">
        <v>730</v>
      </c>
      <c r="CJ109" s="17" t="s">
        <v>182</v>
      </c>
      <c r="CK109" s="1" t="s">
        <v>1284</v>
      </c>
      <c r="CL109" s="1" t="s">
        <v>280</v>
      </c>
      <c r="CM109" s="1">
        <v>0</v>
      </c>
      <c r="CN109" s="12" t="str">
        <f>MID(CK109,4,1)</f>
        <v>2</v>
      </c>
      <c r="CO109" s="1" t="s">
        <v>1004</v>
      </c>
      <c r="CP109" s="1">
        <v>1</v>
      </c>
      <c r="CQ109" s="1" t="s">
        <v>1283</v>
      </c>
      <c r="CR109" s="1">
        <v>3.9</v>
      </c>
      <c r="CS109" s="1" t="s">
        <v>1282</v>
      </c>
      <c r="CT109" s="1" t="s">
        <v>511</v>
      </c>
      <c r="CU109" s="1" t="s">
        <v>472</v>
      </c>
      <c r="CV109" s="1">
        <v>0</v>
      </c>
      <c r="CW109" s="1">
        <v>7.2</v>
      </c>
      <c r="CX109" s="1">
        <v>3.5</v>
      </c>
      <c r="CY109" s="1">
        <v>7.0000000000000007E-2</v>
      </c>
      <c r="CZ109" s="1">
        <v>8</v>
      </c>
      <c r="DA109" s="1">
        <v>42</v>
      </c>
      <c r="DB109" s="2">
        <f>CZ109/DA109*100</f>
        <v>19.047619047619047</v>
      </c>
      <c r="DC109" s="1">
        <v>0</v>
      </c>
      <c r="DD109" s="1">
        <v>0</v>
      </c>
      <c r="DE109" s="1">
        <v>0</v>
      </c>
      <c r="DF109" s="1">
        <v>0</v>
      </c>
      <c r="DG109" s="26" t="s">
        <v>1281</v>
      </c>
      <c r="DH109" s="7">
        <v>0</v>
      </c>
      <c r="DI109" s="7">
        <v>0</v>
      </c>
      <c r="DJ109" s="3">
        <v>43497</v>
      </c>
      <c r="DK109" s="1" t="s">
        <v>339</v>
      </c>
      <c r="DL109" s="12">
        <f>(DJ109-I109)/365.25*12</f>
        <v>8.3449691991786441</v>
      </c>
      <c r="DM109" s="1">
        <v>1</v>
      </c>
      <c r="DN109" s="1" t="s">
        <v>1280</v>
      </c>
      <c r="DO109" s="3">
        <v>43469</v>
      </c>
      <c r="DP109" s="6" t="s">
        <v>133</v>
      </c>
      <c r="DQ109" s="7">
        <v>0</v>
      </c>
      <c r="DR109" s="3" t="s">
        <v>45</v>
      </c>
      <c r="DS109" s="10">
        <f>IF(DQ109=1, (DR109-$I109)/365.25*12, IF(DQ109=0, $DL109, "ERROR"))</f>
        <v>8.3449691991786441</v>
      </c>
      <c r="DT109" s="7">
        <v>0</v>
      </c>
      <c r="DU109" s="7">
        <v>0</v>
      </c>
      <c r="DV109" s="7">
        <v>0</v>
      </c>
      <c r="DW109" s="16">
        <f>DU109*(1-DV109)</f>
        <v>0</v>
      </c>
      <c r="DX109" s="16">
        <f>(1-DU109)*DV109</f>
        <v>0</v>
      </c>
      <c r="DY109" s="16">
        <f>DU109*DV109</f>
        <v>0</v>
      </c>
      <c r="DZ109" s="3" t="s">
        <v>45</v>
      </c>
      <c r="EA109" s="10">
        <f>IF(DT109=1, (DZ109-$I109)/365.25*12, IF(DT109=0, $DL109, "ERROR"))</f>
        <v>8.3449691991786441</v>
      </c>
      <c r="EB109" s="7">
        <v>0</v>
      </c>
      <c r="EC109" s="7">
        <v>0</v>
      </c>
      <c r="ED109" s="16">
        <f>1-((1-DQ109)*(1-DT109))</f>
        <v>0</v>
      </c>
      <c r="EE109" s="11" t="s">
        <v>45</v>
      </c>
      <c r="EF109" s="1" t="s">
        <v>45</v>
      </c>
      <c r="EG109" s="7" t="s">
        <v>45</v>
      </c>
      <c r="EH109" s="1" t="s">
        <v>45</v>
      </c>
      <c r="EI109" s="1">
        <v>1</v>
      </c>
      <c r="EJ109" s="16">
        <f>(1-DQ109)*DX109*(1-EI109)</f>
        <v>0</v>
      </c>
      <c r="EK109" s="3">
        <v>43469</v>
      </c>
      <c r="EL109" s="10">
        <f>IF(EI109=1, (EK109-$I109)/365.25*12, IF(EI109=0, $DL109, "ERROR"))</f>
        <v>7.4250513347022586</v>
      </c>
      <c r="EM109" s="1" t="s">
        <v>1280</v>
      </c>
      <c r="EN109" s="7">
        <v>0</v>
      </c>
      <c r="EO109" s="7">
        <v>0</v>
      </c>
      <c r="EP109" s="7">
        <v>0</v>
      </c>
      <c r="EQ109" s="7">
        <v>0</v>
      </c>
      <c r="ER109" s="7">
        <v>1</v>
      </c>
      <c r="ES109" s="7">
        <v>1</v>
      </c>
      <c r="ET109" s="7">
        <v>1</v>
      </c>
      <c r="EU109" s="7">
        <v>0</v>
      </c>
      <c r="EV109" s="7">
        <v>1</v>
      </c>
      <c r="EW109" s="1">
        <f>1-((1-EP109)*(1-ET109)*(1-EU109)*(1-EV109))</f>
        <v>1</v>
      </c>
      <c r="EX109" s="7">
        <v>0</v>
      </c>
      <c r="EY109" s="7">
        <v>0</v>
      </c>
      <c r="EZ109" s="7">
        <v>1</v>
      </c>
      <c r="FA109" s="7">
        <v>0</v>
      </c>
      <c r="FB109" s="1" t="s">
        <v>45</v>
      </c>
      <c r="FC109" s="1">
        <v>1</v>
      </c>
      <c r="FD109" s="1">
        <v>1</v>
      </c>
      <c r="FF109" s="3">
        <v>43469</v>
      </c>
      <c r="FG109" s="3">
        <f>IF(FC109=1, FF109, IF(FD109=1, 44348, DJ109))</f>
        <v>43469</v>
      </c>
      <c r="FH109" s="13">
        <f>(FG109-I109)/365.25*12</f>
        <v>7.4250513347022586</v>
      </c>
      <c r="FI109" s="20">
        <f>IF(DM109=1, (DO109-I109)/365.25*12, IF(DM109=0, DL109, "ERROR"))</f>
        <v>7.4250513347022586</v>
      </c>
      <c r="FJ109" s="14">
        <f>IF(OR(DM109,FC109), 1, 0)</f>
        <v>1</v>
      </c>
      <c r="FK109" s="11">
        <f>IF(DM109=1,IF(FC109=1,MIN(DO109,FF109),DO109),IF(FC109=1,FF109,DJ109))</f>
        <v>43469</v>
      </c>
      <c r="FL109" s="13">
        <f>(FK109-$I109)/365.25*12</f>
        <v>7.4250513347022586</v>
      </c>
      <c r="FM109" s="14">
        <f>IF(OR(ED109,FC109), 1, 0)</f>
        <v>1</v>
      </c>
      <c r="FN109" s="11">
        <f>IF(ED109=1,IF(FC109=1,MIN(EE109,FF109),EE109),IF(FC109=1,FF109,DJ109))</f>
        <v>43469</v>
      </c>
      <c r="FO109" s="13">
        <f>(FN109-$I109)/365.25*12</f>
        <v>7.4250513347022586</v>
      </c>
      <c r="FP109" s="14">
        <f>IF(OR(EI109,FC109), 1, 0)</f>
        <v>1</v>
      </c>
      <c r="FQ109" s="11">
        <f>IF(EI109=1,IF(FC109=1,MIN(EK109,FF109),EK109),IF(FC109=1,FF109,DJ109))</f>
        <v>43469</v>
      </c>
      <c r="FR109" s="13">
        <f>(FQ109-$I109)/365.25*12</f>
        <v>7.4250513347022586</v>
      </c>
      <c r="FU109" s="1">
        <v>0</v>
      </c>
      <c r="FV109" s="1">
        <v>0</v>
      </c>
      <c r="FW109" s="1">
        <v>0</v>
      </c>
      <c r="FX109" s="1">
        <v>0</v>
      </c>
      <c r="GA109" s="1">
        <v>0</v>
      </c>
      <c r="GB109" s="1">
        <v>0</v>
      </c>
      <c r="GC109" s="1">
        <v>747.75509999999997</v>
      </c>
      <c r="GD109" s="1">
        <v>387.916</v>
      </c>
      <c r="GE109" s="25">
        <v>10</v>
      </c>
      <c r="GF109" s="25">
        <v>5</v>
      </c>
      <c r="GG109" s="1">
        <v>663.82399999999996</v>
      </c>
      <c r="GH109" s="24">
        <v>502.65350000000001</v>
      </c>
    </row>
    <row r="110" spans="1:190" ht="12.75" customHeight="1">
      <c r="A110" s="1" t="s">
        <v>1554</v>
      </c>
      <c r="B110" s="12" t="s">
        <v>1553</v>
      </c>
      <c r="C110" s="12">
        <v>44758277</v>
      </c>
      <c r="D110" s="12">
        <v>0</v>
      </c>
      <c r="E110" s="12">
        <v>0</v>
      </c>
      <c r="F110" s="12">
        <v>1</v>
      </c>
      <c r="G110" s="12">
        <v>1</v>
      </c>
      <c r="H110" s="21"/>
      <c r="I110" s="11">
        <v>41526</v>
      </c>
      <c r="J110" s="11">
        <v>41499</v>
      </c>
      <c r="K110" s="11">
        <v>11292</v>
      </c>
      <c r="L110" s="20">
        <f>(DAYS360(K110,I110))/365</f>
        <v>81.641095890410952</v>
      </c>
      <c r="M110" s="12" t="s">
        <v>370</v>
      </c>
      <c r="N110" s="12">
        <v>0</v>
      </c>
      <c r="O110" s="12">
        <v>0</v>
      </c>
      <c r="P110" s="12" t="s">
        <v>423</v>
      </c>
      <c r="Q110" s="12">
        <v>1</v>
      </c>
      <c r="R110" s="12" t="s">
        <v>466</v>
      </c>
      <c r="S110" s="12">
        <v>30</v>
      </c>
      <c r="T110" s="12" t="s">
        <v>368</v>
      </c>
      <c r="U110" s="12">
        <v>0</v>
      </c>
      <c r="V110" s="12">
        <v>0</v>
      </c>
      <c r="W110" s="12">
        <v>1</v>
      </c>
      <c r="X110" s="12" t="s">
        <v>367</v>
      </c>
      <c r="Y110" s="12">
        <v>3</v>
      </c>
      <c r="Z110" s="12">
        <v>1</v>
      </c>
      <c r="AA110" s="12" t="s">
        <v>366</v>
      </c>
      <c r="AB110" s="12" t="s">
        <v>365</v>
      </c>
      <c r="AC110" s="12">
        <v>3</v>
      </c>
      <c r="AD110" s="12" t="s">
        <v>1552</v>
      </c>
      <c r="AE110" s="12"/>
      <c r="AF110" s="12">
        <v>0</v>
      </c>
      <c r="AG110" s="12">
        <v>0</v>
      </c>
      <c r="AH110" s="12">
        <v>0</v>
      </c>
      <c r="AI110" s="11">
        <v>41526</v>
      </c>
      <c r="AJ110" s="11">
        <v>41571</v>
      </c>
      <c r="AK110" s="19" t="s">
        <v>554</v>
      </c>
      <c r="AL110" s="19" t="s">
        <v>392</v>
      </c>
      <c r="AM110" s="12">
        <v>1</v>
      </c>
      <c r="AN110" s="12">
        <v>1</v>
      </c>
      <c r="AO110" s="12">
        <v>0</v>
      </c>
      <c r="AP110" s="12">
        <v>0</v>
      </c>
      <c r="AQ110" s="12">
        <v>0</v>
      </c>
      <c r="AR110" s="12">
        <v>0</v>
      </c>
      <c r="AS110" s="12">
        <f>IF(AND(AM110=0,AU110&lt;=2), 1, 0)</f>
        <v>0</v>
      </c>
      <c r="AT110" s="12">
        <v>0</v>
      </c>
      <c r="AU110" s="12">
        <v>2</v>
      </c>
      <c r="AV110" s="12">
        <v>0.5</v>
      </c>
      <c r="AW110" s="12"/>
      <c r="AX110" s="12">
        <v>1</v>
      </c>
      <c r="AY110" s="19" t="s">
        <v>357</v>
      </c>
      <c r="AZ110" s="12">
        <v>1</v>
      </c>
      <c r="BA110" s="12">
        <f>1.5+2+0.5</f>
        <v>4</v>
      </c>
      <c r="BB110" s="12">
        <v>189.7</v>
      </c>
      <c r="BC110" s="12">
        <f>12.5-2+0.5</f>
        <v>11</v>
      </c>
      <c r="BD110" s="12">
        <v>2</v>
      </c>
      <c r="BE110" s="12">
        <v>481.8</v>
      </c>
      <c r="BF110" s="12" t="s">
        <v>1551</v>
      </c>
      <c r="BG110" s="12" t="s">
        <v>360</v>
      </c>
      <c r="BH110" s="12">
        <v>45</v>
      </c>
      <c r="BI110" s="12">
        <v>5.4</v>
      </c>
      <c r="BJ110" s="12">
        <v>1</v>
      </c>
      <c r="BK110" s="12">
        <f>BH110+BI110</f>
        <v>50.4</v>
      </c>
      <c r="BL110" s="12">
        <v>28</v>
      </c>
      <c r="BM110" s="12">
        <v>1.8</v>
      </c>
      <c r="BN110" s="12" t="s">
        <v>359</v>
      </c>
      <c r="BO110" s="12">
        <v>0</v>
      </c>
      <c r="BP110" s="12">
        <v>1</v>
      </c>
      <c r="BQ110" s="12">
        <v>1</v>
      </c>
      <c r="BR110" s="11">
        <v>41526</v>
      </c>
      <c r="BS110" s="12" t="s">
        <v>91</v>
      </c>
      <c r="BT110" s="12" t="s">
        <v>90</v>
      </c>
      <c r="BU110" s="12">
        <v>2</v>
      </c>
      <c r="BV110" s="12">
        <v>1</v>
      </c>
      <c r="BW110" s="12">
        <v>7.58</v>
      </c>
      <c r="BX110" s="12">
        <v>0.84299999999999997</v>
      </c>
      <c r="BY110" s="12">
        <v>8.7999999999999995E-2</v>
      </c>
      <c r="BZ110" s="12">
        <v>14.5</v>
      </c>
      <c r="CA110" s="12">
        <v>287</v>
      </c>
      <c r="CB110" s="12">
        <v>1.54</v>
      </c>
      <c r="CC110" s="12">
        <v>10.94</v>
      </c>
      <c r="CD110" s="12">
        <v>5.7</v>
      </c>
      <c r="CE110" s="12">
        <v>1</v>
      </c>
      <c r="CF110" s="11">
        <v>41613</v>
      </c>
      <c r="CG110" s="7">
        <f>CF110-AJ110</f>
        <v>42</v>
      </c>
      <c r="CH110" s="17" t="s">
        <v>461</v>
      </c>
      <c r="CI110" s="17" t="s">
        <v>460</v>
      </c>
      <c r="CJ110" s="17" t="s">
        <v>182</v>
      </c>
      <c r="CK110" s="12" t="s">
        <v>1550</v>
      </c>
      <c r="CL110" s="12" t="s">
        <v>365</v>
      </c>
      <c r="CM110" s="12">
        <v>0</v>
      </c>
      <c r="CN110" s="12" t="str">
        <f>MID(CK110,4,1)</f>
        <v>3</v>
      </c>
      <c r="CO110" s="12" t="s">
        <v>1549</v>
      </c>
      <c r="CP110" s="12">
        <v>2</v>
      </c>
      <c r="CQ110" s="17" t="s">
        <v>1548</v>
      </c>
      <c r="CR110" s="17">
        <v>3.6</v>
      </c>
      <c r="CS110" s="12" t="s">
        <v>1547</v>
      </c>
      <c r="CT110" s="12" t="s">
        <v>1546</v>
      </c>
      <c r="CU110" s="12" t="s">
        <v>472</v>
      </c>
      <c r="CV110" s="17">
        <v>0</v>
      </c>
      <c r="CW110" s="12">
        <v>1.4</v>
      </c>
      <c r="CX110" s="12">
        <v>11.3</v>
      </c>
      <c r="CY110" s="12">
        <v>0.2</v>
      </c>
      <c r="CZ110" s="12">
        <v>2</v>
      </c>
      <c r="DA110" s="12">
        <v>65</v>
      </c>
      <c r="DB110" s="13">
        <f>CZ110/DA110*100</f>
        <v>3.0769230769230771</v>
      </c>
      <c r="DC110" s="12">
        <v>0</v>
      </c>
      <c r="DD110" s="12">
        <v>1</v>
      </c>
      <c r="DE110" s="12">
        <v>1</v>
      </c>
      <c r="DF110" s="12">
        <v>0</v>
      </c>
      <c r="DG110" s="12" t="s">
        <v>1545</v>
      </c>
      <c r="DH110" s="16">
        <v>0</v>
      </c>
      <c r="DI110" s="16">
        <v>1</v>
      </c>
      <c r="DJ110" s="11">
        <v>41832</v>
      </c>
      <c r="DK110" s="11" t="s">
        <v>339</v>
      </c>
      <c r="DL110" s="12">
        <f>(DJ110-I110)/365.25*12</f>
        <v>10.053388090349076</v>
      </c>
      <c r="DM110" s="12">
        <v>1</v>
      </c>
      <c r="DN110" s="12" t="s">
        <v>1544</v>
      </c>
      <c r="DO110" s="11">
        <v>41821</v>
      </c>
      <c r="DP110" s="19"/>
      <c r="DQ110" s="16">
        <v>0</v>
      </c>
      <c r="DR110" s="11" t="s">
        <v>45</v>
      </c>
      <c r="DS110" s="10">
        <f>IF(DQ110=1, (DR110-$I110)/365.25*12, IF(DQ110=0, $DL110, "ERROR"))</f>
        <v>10.053388090349076</v>
      </c>
      <c r="DT110" s="16">
        <v>0</v>
      </c>
      <c r="DU110" s="16">
        <v>0</v>
      </c>
      <c r="DV110" s="16">
        <v>0</v>
      </c>
      <c r="DW110" s="16">
        <f>DU110*(1-DV110)</f>
        <v>0</v>
      </c>
      <c r="DX110" s="16">
        <f>(1-DU110)*DV110</f>
        <v>0</v>
      </c>
      <c r="DY110" s="16">
        <f>DU110*DV110</f>
        <v>0</v>
      </c>
      <c r="DZ110" s="11" t="s">
        <v>45</v>
      </c>
      <c r="EA110" s="10">
        <f>IF(DT110=1, (DZ110-$I110)/365.25*12, IF(DT110=0, $DL110, "ERROR"))</f>
        <v>10.053388090349076</v>
      </c>
      <c r="EB110" s="16">
        <v>0</v>
      </c>
      <c r="EC110" s="16">
        <v>0</v>
      </c>
      <c r="ED110" s="16">
        <f>1-((1-DQ110)*(1-DT110))</f>
        <v>0</v>
      </c>
      <c r="EE110" s="11" t="s">
        <v>45</v>
      </c>
      <c r="EF110" s="11" t="s">
        <v>45</v>
      </c>
      <c r="EG110" s="16" t="s">
        <v>45</v>
      </c>
      <c r="EH110" s="11" t="s">
        <v>45</v>
      </c>
      <c r="EI110" s="12">
        <v>1</v>
      </c>
      <c r="EJ110" s="16">
        <f>(1-DQ110)*DX110*(1-EI110)</f>
        <v>0</v>
      </c>
      <c r="EK110" s="11">
        <v>41821</v>
      </c>
      <c r="EL110" s="10">
        <f>IF(EI110=1, (EK110-$I110)/365.25*12, IF(EI110=0, $DL110, "ERROR"))</f>
        <v>9.6919917864476393</v>
      </c>
      <c r="EM110" s="11" t="s">
        <v>1543</v>
      </c>
      <c r="EN110" s="16">
        <v>0</v>
      </c>
      <c r="EO110" s="16">
        <v>1</v>
      </c>
      <c r="EP110" s="16">
        <v>0</v>
      </c>
      <c r="EQ110" s="16">
        <v>0</v>
      </c>
      <c r="ER110" s="16">
        <v>0</v>
      </c>
      <c r="ES110" s="16">
        <v>0</v>
      </c>
      <c r="ET110" s="16">
        <v>0</v>
      </c>
      <c r="EU110" s="16">
        <v>0</v>
      </c>
      <c r="EV110" s="16">
        <v>0</v>
      </c>
      <c r="EW110" s="1">
        <f>1-((1-EP110)*(1-ET110)*(1-EU110)*(1-EV110))</f>
        <v>0</v>
      </c>
      <c r="EX110" s="16">
        <v>0</v>
      </c>
      <c r="EY110" s="7">
        <v>0</v>
      </c>
      <c r="EZ110" s="7">
        <v>0</v>
      </c>
      <c r="FA110" s="7">
        <v>0</v>
      </c>
      <c r="FB110" s="11" t="s">
        <v>45</v>
      </c>
      <c r="FC110" s="12">
        <v>1</v>
      </c>
      <c r="FD110" s="12">
        <v>1</v>
      </c>
      <c r="FE110" s="11"/>
      <c r="FF110" s="18">
        <v>41832</v>
      </c>
      <c r="FG110" s="3">
        <f>IF(FC110=1, FF110, IF(FD110=1, 44348, DJ110))</f>
        <v>41832</v>
      </c>
      <c r="FH110" s="13">
        <f>(FG110-I110)/365.25*12</f>
        <v>10.053388090349076</v>
      </c>
      <c r="FI110" s="20">
        <f>IF(DM110=1, (DO110-I110)/365.25*12, IF(DM110=0, DL110, "ERROR"))</f>
        <v>9.6919917864476393</v>
      </c>
      <c r="FJ110" s="14">
        <f>IF(OR(DM110,FC110), 1, 0)</f>
        <v>1</v>
      </c>
      <c r="FK110" s="11">
        <f>IF(DM110=1,IF(FC110=1,MIN(DO110,FF110),DO110),IF(FC110=1,FF110,DJ110))</f>
        <v>41821</v>
      </c>
      <c r="FL110" s="13">
        <f>(FK110-$I110)/365.25*12</f>
        <v>9.6919917864476393</v>
      </c>
      <c r="FM110" s="14">
        <f>IF(OR(ED110,FC110), 1, 0)</f>
        <v>1</v>
      </c>
      <c r="FN110" s="11">
        <f>IF(ED110=1,IF(FC110=1,MIN(EE110,FF110),EE110),IF(FC110=1,FF110,DJ110))</f>
        <v>41832</v>
      </c>
      <c r="FO110" s="13">
        <f>(FN110-$I110)/365.25*12</f>
        <v>10.053388090349076</v>
      </c>
      <c r="FP110" s="14">
        <f>IF(OR(EI110,FC110), 1, 0)</f>
        <v>1</v>
      </c>
      <c r="FQ110" s="11">
        <f>IF(EI110=1,IF(FC110=1,MIN(EK110,FF110),EK110),IF(FC110=1,FF110,DJ110))</f>
        <v>41821</v>
      </c>
      <c r="FR110" s="13">
        <f>(FQ110-$I110)/365.25*12</f>
        <v>9.6919917864476393</v>
      </c>
      <c r="FS110" s="12"/>
      <c r="FT110" s="12"/>
      <c r="FU110" s="12">
        <v>0</v>
      </c>
      <c r="FV110" s="12">
        <v>0</v>
      </c>
      <c r="FW110" s="12">
        <v>0</v>
      </c>
      <c r="FX110" s="12">
        <v>0</v>
      </c>
      <c r="FY110" s="12" t="s">
        <v>426</v>
      </c>
      <c r="FZ110" s="12"/>
      <c r="GA110" s="1">
        <v>2</v>
      </c>
      <c r="GB110" s="1">
        <v>2</v>
      </c>
      <c r="GC110" s="1">
        <v>574.92669999999998</v>
      </c>
      <c r="GD110" s="1">
        <v>105.21850000000001</v>
      </c>
      <c r="GE110" s="25">
        <v>1</v>
      </c>
      <c r="GF110" s="25">
        <v>1</v>
      </c>
      <c r="GG110" s="1">
        <v>340.25</v>
      </c>
      <c r="GH110" s="24">
        <v>242.92910000000001</v>
      </c>
    </row>
    <row r="111" spans="1:190" ht="12.75" customHeight="1">
      <c r="A111" s="1" t="s">
        <v>1510</v>
      </c>
      <c r="B111" s="15" t="s">
        <v>1509</v>
      </c>
      <c r="C111" s="1">
        <v>46556167</v>
      </c>
      <c r="D111" s="1">
        <v>0</v>
      </c>
      <c r="E111" s="1">
        <v>0</v>
      </c>
      <c r="F111" s="1">
        <v>1</v>
      </c>
      <c r="G111" s="12">
        <v>1</v>
      </c>
      <c r="I111" s="3">
        <v>42058</v>
      </c>
      <c r="J111" s="3">
        <v>42031</v>
      </c>
      <c r="K111" s="3">
        <v>21592</v>
      </c>
      <c r="L111" s="5">
        <f>(DAYS360(K111,I111))/365</f>
        <v>55.265753424657532</v>
      </c>
      <c r="M111" s="1" t="s">
        <v>5</v>
      </c>
      <c r="N111" s="1">
        <v>1</v>
      </c>
      <c r="O111" s="1">
        <v>0</v>
      </c>
      <c r="P111" s="1" t="s">
        <v>69</v>
      </c>
      <c r="Q111" s="1">
        <v>1</v>
      </c>
      <c r="R111" s="1" t="s">
        <v>209</v>
      </c>
      <c r="S111" s="1" t="s">
        <v>1508</v>
      </c>
      <c r="T111" s="1" t="s">
        <v>80</v>
      </c>
      <c r="U111" s="1">
        <v>0</v>
      </c>
      <c r="V111" s="1">
        <v>1</v>
      </c>
      <c r="W111" s="1">
        <v>0</v>
      </c>
      <c r="X111" s="1" t="s">
        <v>117</v>
      </c>
      <c r="Y111" s="1">
        <v>3</v>
      </c>
      <c r="Z111" s="1">
        <v>1</v>
      </c>
      <c r="AA111" s="1" t="s">
        <v>116</v>
      </c>
      <c r="AC111" s="1">
        <v>3</v>
      </c>
      <c r="AD111" s="1" t="s">
        <v>1507</v>
      </c>
      <c r="AE111" s="1" t="s">
        <v>114</v>
      </c>
      <c r="AF111" s="1">
        <v>0</v>
      </c>
      <c r="AG111" s="1">
        <v>0</v>
      </c>
      <c r="AH111" s="1">
        <v>0</v>
      </c>
      <c r="AI111" s="3">
        <v>42058</v>
      </c>
      <c r="AJ111" s="3">
        <v>42090</v>
      </c>
      <c r="AK111" s="6" t="s">
        <v>1506</v>
      </c>
      <c r="AL111" s="6" t="s">
        <v>1485</v>
      </c>
      <c r="AM111" s="1">
        <v>1</v>
      </c>
      <c r="AN111" s="1">
        <v>1</v>
      </c>
      <c r="AO111" s="1">
        <v>0</v>
      </c>
      <c r="AP111" s="1">
        <v>0</v>
      </c>
      <c r="AQ111" s="1">
        <v>0</v>
      </c>
      <c r="AR111" s="1">
        <v>0</v>
      </c>
      <c r="AS111" s="12">
        <f>IF(AND(AM111=0,AU111&lt;=2), 1, 0)</f>
        <v>0</v>
      </c>
      <c r="AT111" s="12">
        <v>0</v>
      </c>
      <c r="AU111" s="1">
        <v>2</v>
      </c>
      <c r="AV111" s="1">
        <v>0.5</v>
      </c>
      <c r="AW111" s="1"/>
      <c r="AX111" s="6" t="s">
        <v>45</v>
      </c>
      <c r="AY111" s="6" t="s">
        <v>45</v>
      </c>
      <c r="AZ111" s="1">
        <v>0.7</v>
      </c>
      <c r="BA111" s="1">
        <f>0.4+6.2+0.3</f>
        <v>6.9</v>
      </c>
      <c r="BB111" s="1">
        <v>263</v>
      </c>
      <c r="BC111" s="1">
        <f>7.6-0.7+0.3</f>
        <v>7.1999999999999993</v>
      </c>
      <c r="BD111" s="1">
        <v>2</v>
      </c>
      <c r="BE111" s="1">
        <v>533.20000000000005</v>
      </c>
      <c r="BF111" s="1" t="s">
        <v>1484</v>
      </c>
      <c r="BG111" s="1">
        <v>45</v>
      </c>
      <c r="BH111" s="1">
        <v>45</v>
      </c>
      <c r="BI111" s="1">
        <v>0</v>
      </c>
      <c r="BJ111" s="1">
        <v>0</v>
      </c>
      <c r="BK111" s="1">
        <f>BH111+BI111</f>
        <v>45</v>
      </c>
      <c r="BL111" s="1">
        <v>25</v>
      </c>
      <c r="BM111" s="1">
        <v>1.8</v>
      </c>
      <c r="BN111" s="1" t="s">
        <v>110</v>
      </c>
      <c r="BO111" s="1">
        <v>0</v>
      </c>
      <c r="BP111" s="1">
        <v>1</v>
      </c>
      <c r="BQ111" s="1">
        <v>1</v>
      </c>
      <c r="BR111" s="3">
        <v>42058</v>
      </c>
      <c r="BS111" s="1" t="s">
        <v>61</v>
      </c>
      <c r="BT111" s="12" t="s">
        <v>60</v>
      </c>
      <c r="BU111" s="1">
        <v>5</v>
      </c>
      <c r="BV111" s="1">
        <v>1</v>
      </c>
      <c r="BW111" s="1">
        <v>7.19</v>
      </c>
      <c r="BX111" s="1">
        <v>0.65100000000000002</v>
      </c>
      <c r="BY111" s="1">
        <v>0.245</v>
      </c>
      <c r="BZ111" s="1">
        <v>16.3</v>
      </c>
      <c r="CA111" s="1">
        <v>377</v>
      </c>
      <c r="CB111" s="1">
        <v>1.78</v>
      </c>
      <c r="CC111" s="1">
        <v>16.8</v>
      </c>
      <c r="CD111" s="1">
        <v>6.5</v>
      </c>
      <c r="CE111" s="1">
        <v>1</v>
      </c>
      <c r="CF111" s="3">
        <v>42143</v>
      </c>
      <c r="CG111" s="7">
        <f>CF111-AJ111</f>
        <v>53</v>
      </c>
      <c r="CH111" s="1" t="s">
        <v>1505</v>
      </c>
      <c r="CI111" s="12" t="s">
        <v>183</v>
      </c>
      <c r="CJ111" s="1" t="s">
        <v>515</v>
      </c>
      <c r="CK111" s="1" t="s">
        <v>980</v>
      </c>
      <c r="CL111" s="1" t="s">
        <v>968</v>
      </c>
      <c r="CM111" s="1">
        <v>0</v>
      </c>
      <c r="CN111" s="12" t="str">
        <f>MID(CK111,4,1)</f>
        <v>3</v>
      </c>
      <c r="CO111" s="1" t="s">
        <v>1504</v>
      </c>
      <c r="CP111" s="1">
        <v>1</v>
      </c>
      <c r="CQ111" s="1" t="s">
        <v>45</v>
      </c>
      <c r="CR111" s="1" t="s">
        <v>45</v>
      </c>
      <c r="CS111" s="1" t="s">
        <v>1002</v>
      </c>
      <c r="CT111" s="1" t="s">
        <v>511</v>
      </c>
      <c r="CU111" s="1" t="s">
        <v>45</v>
      </c>
      <c r="CV111" s="1">
        <v>0</v>
      </c>
      <c r="CW111" s="1" t="s">
        <v>45</v>
      </c>
      <c r="CX111" s="1" t="s">
        <v>45</v>
      </c>
      <c r="CY111" s="1" t="s">
        <v>45</v>
      </c>
      <c r="CZ111" s="1">
        <v>0</v>
      </c>
      <c r="DA111" s="1">
        <v>38</v>
      </c>
      <c r="DB111" s="2">
        <f>CZ111/DA111*100</f>
        <v>0</v>
      </c>
      <c r="DC111" s="1">
        <v>0</v>
      </c>
      <c r="DD111" s="1">
        <v>0</v>
      </c>
      <c r="DE111" s="1">
        <v>0</v>
      </c>
      <c r="DF111" s="1" t="s">
        <v>45</v>
      </c>
      <c r="DG111" s="26" t="s">
        <v>1503</v>
      </c>
      <c r="DH111" s="7">
        <v>0</v>
      </c>
      <c r="DI111" s="7">
        <v>0</v>
      </c>
      <c r="DJ111" s="3">
        <v>44153</v>
      </c>
      <c r="DK111" s="1" t="s">
        <v>75</v>
      </c>
      <c r="DL111" s="12">
        <f>(DJ111-I111)/365.25*12</f>
        <v>68.829568788501035</v>
      </c>
      <c r="DM111" s="1">
        <v>1</v>
      </c>
      <c r="DN111" s="1" t="s">
        <v>1501</v>
      </c>
      <c r="DO111" s="3">
        <v>42282</v>
      </c>
      <c r="DP111" s="6" t="s">
        <v>1436</v>
      </c>
      <c r="DQ111" s="7">
        <v>0</v>
      </c>
      <c r="DR111" s="3" t="s">
        <v>45</v>
      </c>
      <c r="DS111" s="10">
        <f>IF(DQ111=1, (DR111-$I111)/365.25*12, IF(DQ111=0, $DL111, "ERROR"))</f>
        <v>68.829568788501035</v>
      </c>
      <c r="DT111" s="7">
        <v>0</v>
      </c>
      <c r="DU111" s="7">
        <v>0</v>
      </c>
      <c r="DV111" s="7">
        <v>0</v>
      </c>
      <c r="DW111" s="16">
        <f>DU111*(1-DV111)</f>
        <v>0</v>
      </c>
      <c r="DX111" s="16">
        <f>(1-DU111)*DV111</f>
        <v>0</v>
      </c>
      <c r="DY111" s="16">
        <f>DU111*DV111</f>
        <v>0</v>
      </c>
      <c r="DZ111" s="3" t="s">
        <v>45</v>
      </c>
      <c r="EA111" s="10">
        <f>IF(DT111=1, (DZ111-$I111)/365.25*12, IF(DT111=0, $DL111, "ERROR"))</f>
        <v>68.829568788501035</v>
      </c>
      <c r="EB111" s="7">
        <v>0</v>
      </c>
      <c r="EC111" s="7">
        <v>0</v>
      </c>
      <c r="ED111" s="16">
        <f>1-((1-DQ111)*(1-DT111))</f>
        <v>0</v>
      </c>
      <c r="EE111" s="11" t="s">
        <v>45</v>
      </c>
      <c r="EF111" s="1" t="s">
        <v>1502</v>
      </c>
      <c r="EG111" s="7" t="s">
        <v>45</v>
      </c>
      <c r="EH111" s="1" t="s">
        <v>45</v>
      </c>
      <c r="EI111" s="1">
        <v>1</v>
      </c>
      <c r="EJ111" s="16">
        <f>(1-DQ111)*DX111*(1-EI111)</f>
        <v>0</v>
      </c>
      <c r="EK111" s="3">
        <v>42282</v>
      </c>
      <c r="EL111" s="10">
        <f>IF(EI111=1, (EK111-$I111)/365.25*12, IF(EI111=0, $DL111, "ERROR"))</f>
        <v>7.3593429158110872</v>
      </c>
      <c r="EM111" s="1" t="s">
        <v>1501</v>
      </c>
      <c r="EN111" s="7">
        <v>1</v>
      </c>
      <c r="EO111" s="7">
        <v>0</v>
      </c>
      <c r="EP111" s="7">
        <v>0</v>
      </c>
      <c r="EQ111" s="7">
        <v>0</v>
      </c>
      <c r="ER111" s="7">
        <v>0</v>
      </c>
      <c r="ES111" s="7">
        <v>0</v>
      </c>
      <c r="ET111" s="7">
        <v>0</v>
      </c>
      <c r="EU111" s="7">
        <v>0</v>
      </c>
      <c r="EV111" s="7">
        <v>0</v>
      </c>
      <c r="EW111" s="1">
        <f>1-((1-EP111)*(1-ET111)*(1-EU111)*(1-EV111))</f>
        <v>0</v>
      </c>
      <c r="EX111" s="7">
        <v>0</v>
      </c>
      <c r="EY111" s="7">
        <v>0</v>
      </c>
      <c r="EZ111" s="7">
        <v>0</v>
      </c>
      <c r="FA111" s="7">
        <v>0</v>
      </c>
      <c r="FB111" s="1" t="s">
        <v>45</v>
      </c>
      <c r="FC111" s="1">
        <v>0</v>
      </c>
      <c r="FD111" s="1">
        <v>1</v>
      </c>
      <c r="FF111" s="1" t="s">
        <v>45</v>
      </c>
      <c r="FG111" s="3">
        <f>IF(FC111=1, FF111, IF(FD111=1, 44348, DJ111))</f>
        <v>44348</v>
      </c>
      <c r="FH111" s="13">
        <f>(FG111-I111)/365.25*12</f>
        <v>75.236139630390142</v>
      </c>
      <c r="FI111" s="20">
        <f>IF(DM111=1, (DO111-I111)/365.25*12, IF(DM111=0, DL111, "ERROR"))</f>
        <v>7.3593429158110872</v>
      </c>
      <c r="FJ111" s="14">
        <f>IF(OR(DM111,FC111), 1, 0)</f>
        <v>1</v>
      </c>
      <c r="FK111" s="11">
        <f>IF(DM111=1,IF(FC111=1,MIN(DO111,FF111),DO111),IF(FC111=1,FF111,DJ111))</f>
        <v>42282</v>
      </c>
      <c r="FL111" s="13">
        <f>(FK111-$I111)/365.25*12</f>
        <v>7.3593429158110872</v>
      </c>
      <c r="FM111" s="14">
        <f>IF(OR(ED111,FC111), 1, 0)</f>
        <v>0</v>
      </c>
      <c r="FN111" s="11">
        <f>IF(ED111=1,IF(FC111=1,MIN(EE111,FF111),EE111),IF(FC111=1,FF111,DJ111))</f>
        <v>44153</v>
      </c>
      <c r="FO111" s="13">
        <f>(FN111-$I111)/365.25*12</f>
        <v>68.829568788501035</v>
      </c>
      <c r="FP111" s="14">
        <f>IF(OR(EI111,FC111), 1, 0)</f>
        <v>1</v>
      </c>
      <c r="FQ111" s="11">
        <f>IF(EI111=1,IF(FC111=1,MIN(EK111,FF111),EK111),IF(FC111=1,FF111,DJ111))</f>
        <v>42282</v>
      </c>
      <c r="FR111" s="13">
        <f>(FQ111-$I111)/365.25*12</f>
        <v>7.3593429158110872</v>
      </c>
      <c r="FS111" s="1" t="s">
        <v>45</v>
      </c>
      <c r="FT111" s="1" t="s">
        <v>45</v>
      </c>
      <c r="FU111" s="1">
        <v>0</v>
      </c>
      <c r="FV111" s="1">
        <v>0</v>
      </c>
      <c r="FW111" s="1">
        <v>0</v>
      </c>
      <c r="FX111" s="1">
        <v>0</v>
      </c>
      <c r="GA111" s="1">
        <v>0</v>
      </c>
      <c r="GB111" s="1">
        <v>0</v>
      </c>
      <c r="GC111" s="1">
        <v>551.05309999999997</v>
      </c>
      <c r="GD111" s="1">
        <v>111.4417</v>
      </c>
      <c r="GE111" s="25">
        <v>10</v>
      </c>
      <c r="GF111" s="25">
        <v>10</v>
      </c>
      <c r="GG111" s="1">
        <v>616.30510000000004</v>
      </c>
      <c r="GH111" s="24">
        <v>422.63819999999998</v>
      </c>
    </row>
    <row r="112" spans="1:190" ht="12.75" customHeight="1">
      <c r="A112" s="1" t="s">
        <v>1516</v>
      </c>
      <c r="B112" s="15" t="s">
        <v>1515</v>
      </c>
      <c r="C112" s="1">
        <v>46618243</v>
      </c>
      <c r="D112" s="1">
        <v>0</v>
      </c>
      <c r="E112" s="1">
        <v>0</v>
      </c>
      <c r="F112" s="1">
        <v>1</v>
      </c>
      <c r="G112" s="12">
        <v>1</v>
      </c>
      <c r="I112" s="3">
        <v>42072</v>
      </c>
      <c r="J112" s="3">
        <v>42046</v>
      </c>
      <c r="K112" s="3">
        <v>17271</v>
      </c>
      <c r="L112" s="5">
        <f>(DAYS360(K112,I112))/365</f>
        <v>66.972602739726028</v>
      </c>
      <c r="M112" s="1" t="s">
        <v>5</v>
      </c>
      <c r="N112" s="1">
        <v>1</v>
      </c>
      <c r="O112" s="1">
        <v>0</v>
      </c>
      <c r="P112" s="1" t="s">
        <v>45</v>
      </c>
      <c r="R112" s="1" t="s">
        <v>209</v>
      </c>
      <c r="S112" s="1" t="s">
        <v>1514</v>
      </c>
      <c r="T112" s="1" t="s">
        <v>80</v>
      </c>
      <c r="U112" s="1">
        <v>0</v>
      </c>
      <c r="V112" s="1">
        <v>1</v>
      </c>
      <c r="W112" s="1">
        <v>0</v>
      </c>
      <c r="X112" s="1" t="s">
        <v>296</v>
      </c>
      <c r="Y112" s="1">
        <v>2</v>
      </c>
      <c r="Z112" s="1">
        <v>1</v>
      </c>
      <c r="AA112" s="1" t="s">
        <v>65</v>
      </c>
      <c r="AC112" s="1">
        <v>2</v>
      </c>
      <c r="AD112" s="1" t="s">
        <v>1513</v>
      </c>
      <c r="AE112" s="1" t="s">
        <v>114</v>
      </c>
      <c r="AF112" s="1">
        <v>0</v>
      </c>
      <c r="AG112" s="1">
        <v>0</v>
      </c>
      <c r="AH112" s="1">
        <v>0</v>
      </c>
      <c r="AI112" s="3">
        <v>42072</v>
      </c>
      <c r="AJ112" s="3">
        <v>42104</v>
      </c>
      <c r="AK112" s="6" t="s">
        <v>1512</v>
      </c>
      <c r="AL112" s="6" t="s">
        <v>1485</v>
      </c>
      <c r="AM112" s="1">
        <v>1</v>
      </c>
      <c r="AN112" s="1">
        <v>1</v>
      </c>
      <c r="AO112" s="1">
        <v>0</v>
      </c>
      <c r="AP112" s="1">
        <v>0</v>
      </c>
      <c r="AQ112" s="1">
        <v>0</v>
      </c>
      <c r="AR112" s="1">
        <v>0</v>
      </c>
      <c r="AS112" s="12">
        <f>IF(AND(AM112=0,AU112&lt;=2), 1, 0)</f>
        <v>0</v>
      </c>
      <c r="AT112" s="12">
        <v>0</v>
      </c>
      <c r="AU112" s="1">
        <v>4.5</v>
      </c>
      <c r="AV112" s="1">
        <v>0.5</v>
      </c>
      <c r="AW112" s="1"/>
      <c r="AX112" s="6" t="s">
        <v>45</v>
      </c>
      <c r="AY112" s="6" t="s">
        <v>45</v>
      </c>
      <c r="AZ112" s="1">
        <v>1</v>
      </c>
      <c r="BA112" s="1">
        <v>5.5</v>
      </c>
      <c r="BB112" s="1">
        <v>133.6</v>
      </c>
      <c r="BC112" s="1">
        <v>7.5</v>
      </c>
      <c r="BD112" s="1">
        <v>3.5</v>
      </c>
      <c r="BE112" s="1">
        <v>382.6</v>
      </c>
      <c r="BF112" s="1" t="s">
        <v>1484</v>
      </c>
      <c r="BG112" s="1">
        <v>45</v>
      </c>
      <c r="BH112" s="1">
        <v>45</v>
      </c>
      <c r="BI112" s="1">
        <v>0</v>
      </c>
      <c r="BJ112" s="1">
        <v>0</v>
      </c>
      <c r="BK112" s="1">
        <f>BH112+BI112</f>
        <v>45</v>
      </c>
      <c r="BL112" s="1">
        <v>25</v>
      </c>
      <c r="BM112" s="1">
        <v>1.8</v>
      </c>
      <c r="BN112" s="1" t="s">
        <v>110</v>
      </c>
      <c r="BO112" s="1">
        <v>0</v>
      </c>
      <c r="BP112" s="1">
        <v>1</v>
      </c>
      <c r="BQ112" s="1">
        <v>1</v>
      </c>
      <c r="BR112" s="3">
        <v>42072</v>
      </c>
      <c r="BS112" s="1" t="s">
        <v>61</v>
      </c>
      <c r="BT112" s="12" t="s">
        <v>60</v>
      </c>
      <c r="BU112" s="1">
        <v>5</v>
      </c>
      <c r="BV112" s="1">
        <v>1</v>
      </c>
      <c r="BW112" s="1">
        <v>5.77</v>
      </c>
      <c r="BX112" s="1">
        <v>0.51200000000000001</v>
      </c>
      <c r="BY112" s="1">
        <v>0.40400000000000003</v>
      </c>
      <c r="BZ112" s="1">
        <v>13.2</v>
      </c>
      <c r="CA112" s="1">
        <v>183</v>
      </c>
      <c r="CB112" s="1">
        <v>1.75</v>
      </c>
      <c r="CC112" s="1">
        <v>8</v>
      </c>
      <c r="CD112" s="1">
        <v>8.6999999999999993</v>
      </c>
      <c r="CE112" s="1">
        <v>1</v>
      </c>
      <c r="CF112" s="3">
        <v>42150</v>
      </c>
      <c r="CG112" s="7">
        <f>CF112-AJ112</f>
        <v>46</v>
      </c>
      <c r="CH112" s="1" t="s">
        <v>1505</v>
      </c>
      <c r="CI112" s="12" t="s">
        <v>183</v>
      </c>
      <c r="CJ112" s="1" t="s">
        <v>515</v>
      </c>
      <c r="CK112" s="1" t="s">
        <v>811</v>
      </c>
      <c r="CL112" s="1" t="s">
        <v>45</v>
      </c>
      <c r="CM112" s="1">
        <v>1</v>
      </c>
      <c r="CN112" s="12" t="str">
        <f>MID(CK112,4,1)</f>
        <v>0</v>
      </c>
      <c r="CO112" s="1" t="s">
        <v>662</v>
      </c>
      <c r="CP112" s="1">
        <v>0</v>
      </c>
      <c r="CQ112" s="1" t="s">
        <v>45</v>
      </c>
      <c r="CR112" s="1">
        <v>0</v>
      </c>
      <c r="CS112" s="1" t="s">
        <v>45</v>
      </c>
      <c r="CT112" s="1" t="s">
        <v>45</v>
      </c>
      <c r="CU112" s="1" t="s">
        <v>45</v>
      </c>
      <c r="CV112" s="1">
        <v>0</v>
      </c>
      <c r="CW112" s="1" t="s">
        <v>45</v>
      </c>
      <c r="CX112" s="1" t="s">
        <v>45</v>
      </c>
      <c r="CY112" s="1" t="s">
        <v>45</v>
      </c>
      <c r="CZ112" s="1">
        <v>0</v>
      </c>
      <c r="DA112" s="1">
        <v>37</v>
      </c>
      <c r="DB112" s="2">
        <f>CZ112/DA112*100</f>
        <v>0</v>
      </c>
      <c r="DC112" s="1" t="s">
        <v>45</v>
      </c>
      <c r="DD112" s="1" t="s">
        <v>45</v>
      </c>
      <c r="DE112" s="1" t="s">
        <v>45</v>
      </c>
      <c r="DF112" s="1" t="s">
        <v>45</v>
      </c>
      <c r="DG112" s="26" t="s">
        <v>1511</v>
      </c>
      <c r="DH112" s="7">
        <v>0</v>
      </c>
      <c r="DI112" s="7">
        <v>0</v>
      </c>
      <c r="DJ112" s="3">
        <v>43803</v>
      </c>
      <c r="DK112" s="1" t="s">
        <v>1119</v>
      </c>
      <c r="DL112" s="12">
        <f>(DJ112-I112)/365.25*12</f>
        <v>56.870636550308006</v>
      </c>
      <c r="DM112" s="1">
        <v>0</v>
      </c>
      <c r="DN112" s="1" t="s">
        <v>45</v>
      </c>
      <c r="DO112" s="1" t="s">
        <v>45</v>
      </c>
      <c r="DP112" s="6" t="s">
        <v>45</v>
      </c>
      <c r="DQ112" s="7">
        <v>0</v>
      </c>
      <c r="DR112" s="3" t="s">
        <v>45</v>
      </c>
      <c r="DS112" s="10">
        <f>IF(DQ112=1, (DR112-$I112)/365.25*12, IF(DQ112=0, $DL112, "ERROR"))</f>
        <v>56.870636550308006</v>
      </c>
      <c r="DT112" s="7">
        <v>0</v>
      </c>
      <c r="DU112" s="7">
        <v>0</v>
      </c>
      <c r="DV112" s="7">
        <v>0</v>
      </c>
      <c r="DW112" s="16">
        <f>DU112*(1-DV112)</f>
        <v>0</v>
      </c>
      <c r="DX112" s="16">
        <f>(1-DU112)*DV112</f>
        <v>0</v>
      </c>
      <c r="DY112" s="16">
        <f>DU112*DV112</f>
        <v>0</v>
      </c>
      <c r="DZ112" s="3" t="s">
        <v>45</v>
      </c>
      <c r="EA112" s="10">
        <f>IF(DT112=1, (DZ112-$I112)/365.25*12, IF(DT112=0, $DL112, "ERROR"))</f>
        <v>56.870636550308006</v>
      </c>
      <c r="EB112" s="7">
        <v>0</v>
      </c>
      <c r="EC112" s="7">
        <v>0</v>
      </c>
      <c r="ED112" s="16">
        <f>1-((1-DQ112)*(1-DT112))</f>
        <v>0</v>
      </c>
      <c r="EE112" s="11" t="s">
        <v>45</v>
      </c>
      <c r="EF112" s="1" t="s">
        <v>45</v>
      </c>
      <c r="EG112" s="7" t="s">
        <v>45</v>
      </c>
      <c r="EH112" s="1" t="s">
        <v>45</v>
      </c>
      <c r="EI112" s="1">
        <v>0</v>
      </c>
      <c r="EJ112" s="16">
        <f>(1-DQ112)*DX112*(1-EI112)</f>
        <v>0</v>
      </c>
      <c r="EK112" s="1" t="s">
        <v>45</v>
      </c>
      <c r="EL112" s="10">
        <f>IF(EI112=1, (EK112-$I112)/365.25*12, IF(EI112=0, $DL112, "ERROR"))</f>
        <v>56.870636550308006</v>
      </c>
      <c r="EM112" s="1" t="s">
        <v>45</v>
      </c>
      <c r="EN112" s="1">
        <v>0</v>
      </c>
      <c r="EO112" s="1">
        <v>0</v>
      </c>
      <c r="EP112" s="1">
        <v>0</v>
      </c>
      <c r="EQ112" s="1">
        <v>0</v>
      </c>
      <c r="ER112" s="1">
        <v>0</v>
      </c>
      <c r="ES112" s="1">
        <v>0</v>
      </c>
      <c r="ET112" s="1">
        <v>0</v>
      </c>
      <c r="EU112" s="1">
        <v>0</v>
      </c>
      <c r="EV112" s="1">
        <v>0</v>
      </c>
      <c r="EW112" s="1">
        <f>1-((1-EP112)*(1-ET112)*(1-EU112)*(1-EV112))</f>
        <v>0</v>
      </c>
      <c r="EX112" s="7">
        <v>0</v>
      </c>
      <c r="EY112" s="7">
        <v>0</v>
      </c>
      <c r="EZ112" s="7">
        <v>0</v>
      </c>
      <c r="FA112" s="7">
        <v>0</v>
      </c>
      <c r="FB112" s="1" t="s">
        <v>45</v>
      </c>
      <c r="FC112" s="1">
        <v>1</v>
      </c>
      <c r="FD112" s="1">
        <v>1</v>
      </c>
      <c r="FF112" s="3">
        <v>43829</v>
      </c>
      <c r="FG112" s="3">
        <f>IF(FC112=1, FF112, IF(FD112=1, 44348, DJ112))</f>
        <v>43829</v>
      </c>
      <c r="FH112" s="13">
        <f>(FG112-I112)/365.25*12</f>
        <v>57.724845995893219</v>
      </c>
      <c r="FI112" s="20">
        <f>IF(DM112=1, (DO112-I112)/365.25*12, IF(DM112=0, DL112, "ERROR"))</f>
        <v>56.870636550308006</v>
      </c>
      <c r="FJ112" s="14">
        <f>IF(OR(DM112,FC112), 1, 0)</f>
        <v>1</v>
      </c>
      <c r="FK112" s="11">
        <f>IF(DM112=1,IF(FC112=1,MIN(DO112,FF112),DO112),IF(FC112=1,FF112,DJ112))</f>
        <v>43829</v>
      </c>
      <c r="FL112" s="13">
        <f>(FK112-$I112)/365.25*12</f>
        <v>57.724845995893219</v>
      </c>
      <c r="FM112" s="14">
        <f>IF(OR(ED112,FC112), 1, 0)</f>
        <v>1</v>
      </c>
      <c r="FN112" s="11">
        <f>IF(ED112=1,IF(FC112=1,MIN(EE112,FF112),EE112),IF(FC112=1,FF112,DJ112))</f>
        <v>43829</v>
      </c>
      <c r="FO112" s="13">
        <f>(FN112-$I112)/365.25*12</f>
        <v>57.724845995893219</v>
      </c>
      <c r="FP112" s="14">
        <f>IF(OR(EI112,FC112), 1, 0)</f>
        <v>1</v>
      </c>
      <c r="FQ112" s="11">
        <f>IF(EI112=1,IF(FC112=1,MIN(EK112,FF112),EK112),IF(FC112=1,FF112,DJ112))</f>
        <v>43829</v>
      </c>
      <c r="FR112" s="13">
        <f>(FQ112-$I112)/365.25*12</f>
        <v>57.724845995893219</v>
      </c>
      <c r="FS112" s="1" t="s">
        <v>45</v>
      </c>
      <c r="FT112" s="1" t="s">
        <v>45</v>
      </c>
      <c r="FU112" s="1">
        <v>0</v>
      </c>
      <c r="FV112" s="1">
        <v>0</v>
      </c>
      <c r="FW112" s="1">
        <v>0</v>
      </c>
      <c r="FX112" s="1">
        <v>0</v>
      </c>
      <c r="GA112" s="1">
        <v>0</v>
      </c>
      <c r="GB112" s="1">
        <v>0</v>
      </c>
      <c r="GC112" s="1">
        <v>1737.6808000000001</v>
      </c>
      <c r="GD112" s="1">
        <v>163.76689999999999</v>
      </c>
      <c r="GE112" s="25">
        <v>0</v>
      </c>
      <c r="GF112" s="25">
        <v>0</v>
      </c>
      <c r="GG112" s="1">
        <v>138.11510000000001</v>
      </c>
      <c r="GH112" s="24">
        <v>77.324600000000004</v>
      </c>
    </row>
    <row r="113" spans="1:190" ht="12.75" customHeight="1">
      <c r="A113" s="1" t="s">
        <v>1194</v>
      </c>
      <c r="B113" s="15" t="s">
        <v>1193</v>
      </c>
      <c r="C113" s="1">
        <v>46695156</v>
      </c>
      <c r="D113" s="1">
        <v>0</v>
      </c>
      <c r="E113" s="1">
        <v>0</v>
      </c>
      <c r="F113" s="1">
        <v>1</v>
      </c>
      <c r="G113" s="12">
        <v>1</v>
      </c>
      <c r="I113" s="3">
        <v>42117</v>
      </c>
      <c r="J113" s="3">
        <v>42073</v>
      </c>
      <c r="K113" s="3">
        <v>17771</v>
      </c>
      <c r="L113" s="5">
        <f>(DAYS360(K113,I113))/365</f>
        <v>65.745205479452054</v>
      </c>
      <c r="M113" s="1" t="s">
        <v>5</v>
      </c>
      <c r="N113" s="1">
        <v>0</v>
      </c>
      <c r="O113" s="1">
        <v>0</v>
      </c>
      <c r="P113" s="1" t="s">
        <v>81</v>
      </c>
      <c r="Q113" s="1">
        <v>2</v>
      </c>
      <c r="R113" s="1" t="s">
        <v>18</v>
      </c>
      <c r="S113" s="1" t="s">
        <v>1192</v>
      </c>
      <c r="T113" s="1" t="s">
        <v>80</v>
      </c>
      <c r="U113" s="1">
        <v>0</v>
      </c>
      <c r="V113" s="1">
        <v>1</v>
      </c>
      <c r="W113" s="1">
        <v>0</v>
      </c>
      <c r="X113" s="1" t="s">
        <v>1191</v>
      </c>
      <c r="Y113" s="1">
        <v>1</v>
      </c>
      <c r="Z113" s="1">
        <v>2</v>
      </c>
      <c r="AA113" s="1" t="s">
        <v>116</v>
      </c>
      <c r="AC113" s="1">
        <v>3</v>
      </c>
      <c r="AD113" s="1" t="s">
        <v>1190</v>
      </c>
      <c r="AE113" s="1" t="s">
        <v>114</v>
      </c>
      <c r="AF113" s="1">
        <v>0</v>
      </c>
      <c r="AG113" s="1">
        <v>0</v>
      </c>
      <c r="AH113" s="1">
        <v>0</v>
      </c>
      <c r="AI113" s="3">
        <v>42117</v>
      </c>
      <c r="AJ113" s="3">
        <v>42157</v>
      </c>
      <c r="AK113" s="6" t="s">
        <v>1189</v>
      </c>
      <c r="AL113" s="6" t="s">
        <v>123</v>
      </c>
      <c r="AM113" s="1">
        <v>0</v>
      </c>
      <c r="AN113" s="1">
        <v>0</v>
      </c>
      <c r="AO113" s="1">
        <v>0</v>
      </c>
      <c r="AP113" s="1">
        <v>0</v>
      </c>
      <c r="AQ113" s="1">
        <v>0</v>
      </c>
      <c r="AR113" s="1">
        <v>0</v>
      </c>
      <c r="AS113" s="12">
        <f>IF(AND(AM113=0,AU113&lt;=2), 1, 0)</f>
        <v>1</v>
      </c>
      <c r="AT113" s="12">
        <v>1</v>
      </c>
      <c r="AU113" s="1">
        <v>2</v>
      </c>
      <c r="AV113" s="1">
        <v>0.5</v>
      </c>
      <c r="AW113" s="1">
        <v>0.5</v>
      </c>
      <c r="AX113" s="6" t="s">
        <v>45</v>
      </c>
      <c r="AY113" s="6" t="s">
        <v>45</v>
      </c>
      <c r="AZ113" s="6" t="s">
        <v>111</v>
      </c>
      <c r="BA113" s="1">
        <f>3.3+1.2+0.3</f>
        <v>4.8</v>
      </c>
      <c r="BB113" s="1">
        <v>205.3</v>
      </c>
      <c r="BC113" s="1">
        <f>9.6-3.6+0.3</f>
        <v>6.3</v>
      </c>
      <c r="BD113" s="1">
        <v>2</v>
      </c>
      <c r="BE113" s="1">
        <v>497.2</v>
      </c>
      <c r="BF113" s="6" t="s">
        <v>123</v>
      </c>
      <c r="BG113" s="1">
        <v>45</v>
      </c>
      <c r="BH113" s="1">
        <v>45</v>
      </c>
      <c r="BI113" s="1">
        <v>0</v>
      </c>
      <c r="BJ113" s="1">
        <v>0</v>
      </c>
      <c r="BK113" s="1">
        <f>BH113+BI113</f>
        <v>45</v>
      </c>
      <c r="BL113" s="1">
        <v>25</v>
      </c>
      <c r="BM113" s="1">
        <v>1.8</v>
      </c>
      <c r="BN113" s="1" t="s">
        <v>110</v>
      </c>
      <c r="BO113" s="1">
        <v>0</v>
      </c>
      <c r="BP113" s="1">
        <v>1</v>
      </c>
      <c r="BQ113" s="1">
        <v>1</v>
      </c>
      <c r="BR113" s="3">
        <v>42110</v>
      </c>
      <c r="BS113" s="1" t="s">
        <v>61</v>
      </c>
      <c r="BT113" s="12" t="s">
        <v>60</v>
      </c>
      <c r="BU113" s="1">
        <v>5</v>
      </c>
      <c r="BV113" s="1">
        <v>1</v>
      </c>
      <c r="BW113" s="1">
        <v>5.82</v>
      </c>
      <c r="BX113" s="1">
        <v>0.42099999999999999</v>
      </c>
      <c r="BY113" s="1">
        <v>0.46899999999999997</v>
      </c>
      <c r="BZ113" s="1">
        <v>14.5</v>
      </c>
      <c r="CA113" s="1">
        <v>297</v>
      </c>
      <c r="CB113" s="1">
        <v>1.9</v>
      </c>
      <c r="CE113" s="1">
        <v>1</v>
      </c>
      <c r="CF113" s="3">
        <v>42206</v>
      </c>
      <c r="CG113" s="7">
        <f>CF113-AJ113</f>
        <v>49</v>
      </c>
      <c r="CH113" s="1" t="s">
        <v>1057</v>
      </c>
      <c r="CI113" s="12" t="s">
        <v>183</v>
      </c>
      <c r="CJ113" s="17" t="s">
        <v>182</v>
      </c>
      <c r="CK113" s="1" t="s">
        <v>771</v>
      </c>
      <c r="CL113" s="1" t="s">
        <v>45</v>
      </c>
      <c r="CM113" s="1">
        <v>0</v>
      </c>
      <c r="CN113" s="12" t="str">
        <f>MID(CK113,4,1)</f>
        <v>0</v>
      </c>
      <c r="CO113" s="1" t="s">
        <v>1025</v>
      </c>
      <c r="CP113" s="1">
        <v>0</v>
      </c>
      <c r="CQ113" s="1" t="s">
        <v>45</v>
      </c>
      <c r="CR113" s="1">
        <v>0</v>
      </c>
      <c r="CS113" s="1" t="s">
        <v>45</v>
      </c>
      <c r="CT113" s="1" t="s">
        <v>45</v>
      </c>
      <c r="CU113" s="1" t="s">
        <v>45</v>
      </c>
      <c r="CV113" s="1">
        <v>0</v>
      </c>
      <c r="CW113" s="1" t="s">
        <v>45</v>
      </c>
      <c r="CX113" s="1" t="s">
        <v>45</v>
      </c>
      <c r="CY113" s="1" t="s">
        <v>45</v>
      </c>
      <c r="CZ113" s="1">
        <v>1</v>
      </c>
      <c r="DA113" s="1">
        <v>39</v>
      </c>
      <c r="DB113" s="2">
        <f>CZ113/DA113*100</f>
        <v>2.5641025641025639</v>
      </c>
      <c r="DC113" s="1" t="s">
        <v>45</v>
      </c>
      <c r="DD113" s="1" t="s">
        <v>45</v>
      </c>
      <c r="DE113" s="1" t="s">
        <v>45</v>
      </c>
      <c r="DF113" s="1" t="s">
        <v>45</v>
      </c>
      <c r="DG113" s="26" t="s">
        <v>1188</v>
      </c>
      <c r="DH113" s="7">
        <v>0</v>
      </c>
      <c r="DI113" s="7">
        <v>0</v>
      </c>
      <c r="DJ113" s="3">
        <v>44797</v>
      </c>
      <c r="DK113" s="1" t="s">
        <v>75</v>
      </c>
      <c r="DL113" s="12">
        <f>(DJ113-I113)/365.25*12</f>
        <v>88.049281314168383</v>
      </c>
      <c r="DM113" s="1">
        <v>0</v>
      </c>
      <c r="DN113" s="1" t="s">
        <v>45</v>
      </c>
      <c r="DO113" s="1" t="s">
        <v>45</v>
      </c>
      <c r="DP113" s="6" t="s">
        <v>45</v>
      </c>
      <c r="DQ113" s="7">
        <v>0</v>
      </c>
      <c r="DR113" s="3" t="s">
        <v>45</v>
      </c>
      <c r="DS113" s="10">
        <f>IF(DQ113=1, (DR113-$I113)/365.25*12, IF(DQ113=0, $DL113, "ERROR"))</f>
        <v>88.049281314168383</v>
      </c>
      <c r="DT113" s="7">
        <v>0</v>
      </c>
      <c r="DU113" s="7">
        <v>0</v>
      </c>
      <c r="DV113" s="7">
        <v>0</v>
      </c>
      <c r="DW113" s="16">
        <f>DU113*(1-DV113)</f>
        <v>0</v>
      </c>
      <c r="DX113" s="16">
        <f>(1-DU113)*DV113</f>
        <v>0</v>
      </c>
      <c r="DY113" s="16">
        <f>DU113*DV113</f>
        <v>0</v>
      </c>
      <c r="DZ113" s="3" t="s">
        <v>45</v>
      </c>
      <c r="EA113" s="10">
        <f>IF(DT113=1, (DZ113-$I113)/365.25*12, IF(DT113=0, $DL113, "ERROR"))</f>
        <v>88.049281314168383</v>
      </c>
      <c r="EB113" s="7">
        <v>0</v>
      </c>
      <c r="EC113" s="7">
        <v>0</v>
      </c>
      <c r="ED113" s="16">
        <f>1-((1-DQ113)*(1-DT113))</f>
        <v>0</v>
      </c>
      <c r="EE113" s="11" t="s">
        <v>45</v>
      </c>
      <c r="EF113" s="1" t="s">
        <v>45</v>
      </c>
      <c r="EG113" s="7" t="s">
        <v>45</v>
      </c>
      <c r="EH113" s="1" t="s">
        <v>45</v>
      </c>
      <c r="EI113" s="1">
        <v>0</v>
      </c>
      <c r="EJ113" s="16">
        <f>(1-DQ113)*DX113*(1-EI113)</f>
        <v>0</v>
      </c>
      <c r="EK113" s="1" t="s">
        <v>45</v>
      </c>
      <c r="EL113" s="10">
        <f>IF(EI113=1, (EK113-$I113)/365.25*12, IF(EI113=0, $DL113, "ERROR"))</f>
        <v>88.049281314168383</v>
      </c>
      <c r="EM113" s="1" t="s">
        <v>45</v>
      </c>
      <c r="EN113" s="1">
        <v>0</v>
      </c>
      <c r="EO113" s="1">
        <v>0</v>
      </c>
      <c r="EP113" s="1">
        <v>0</v>
      </c>
      <c r="EQ113" s="1">
        <v>0</v>
      </c>
      <c r="ER113" s="1">
        <v>0</v>
      </c>
      <c r="ES113" s="1">
        <v>0</v>
      </c>
      <c r="ET113" s="1">
        <v>0</v>
      </c>
      <c r="EU113" s="1">
        <v>0</v>
      </c>
      <c r="EV113" s="1">
        <v>0</v>
      </c>
      <c r="EW113" s="1">
        <f>1-((1-EP113)*(1-ET113)*(1-EU113)*(1-EV113))</f>
        <v>0</v>
      </c>
      <c r="EX113" s="7">
        <v>0</v>
      </c>
      <c r="EY113" s="7">
        <v>0</v>
      </c>
      <c r="EZ113" s="7">
        <v>0</v>
      </c>
      <c r="FA113" s="7">
        <v>0</v>
      </c>
      <c r="FB113" s="1" t="s">
        <v>45</v>
      </c>
      <c r="FC113" s="1">
        <v>0</v>
      </c>
      <c r="FD113" s="1">
        <v>1</v>
      </c>
      <c r="FF113" s="1" t="s">
        <v>45</v>
      </c>
      <c r="FG113" s="3">
        <f>IF(FC113=1, FF113, IF(FD113=1, 44348, DJ113))</f>
        <v>44348</v>
      </c>
      <c r="FH113" s="13">
        <f>(FG113-I113)/365.25*12</f>
        <v>73.297741273100613</v>
      </c>
      <c r="FI113" s="20">
        <f>IF(DM113=1, (DO113-I113)/365.25*12, IF(DM113=0, DL113, "ERROR"))</f>
        <v>88.049281314168383</v>
      </c>
      <c r="FJ113" s="14">
        <f>IF(OR(DM113,FC113), 1, 0)</f>
        <v>0</v>
      </c>
      <c r="FK113" s="11">
        <f>IF(DM113=1,IF(FC113=1,MIN(DO113,FF113),DO113),IF(FC113=1,FF113,DJ113))</f>
        <v>44797</v>
      </c>
      <c r="FL113" s="13">
        <f>(FK113-$I113)/365.25*12</f>
        <v>88.049281314168383</v>
      </c>
      <c r="FM113" s="14">
        <f>IF(OR(ED113,FC113), 1, 0)</f>
        <v>0</v>
      </c>
      <c r="FN113" s="11">
        <f>IF(ED113=1,IF(FC113=1,MIN(EE113,FF113),EE113),IF(FC113=1,FF113,DJ113))</f>
        <v>44797</v>
      </c>
      <c r="FO113" s="13">
        <f>(FN113-$I113)/365.25*12</f>
        <v>88.049281314168383</v>
      </c>
      <c r="FP113" s="14">
        <f>IF(OR(EI113,FC113), 1, 0)</f>
        <v>0</v>
      </c>
      <c r="FQ113" s="11">
        <f>IF(EI113=1,IF(FC113=1,MIN(EK113,FF113),EK113),IF(FC113=1,FF113,DJ113))</f>
        <v>44797</v>
      </c>
      <c r="FR113" s="13">
        <f>(FQ113-$I113)/365.25*12</f>
        <v>88.049281314168383</v>
      </c>
      <c r="FU113" s="1">
        <v>0</v>
      </c>
      <c r="FV113" s="1">
        <v>0</v>
      </c>
      <c r="FW113" s="1">
        <v>0</v>
      </c>
      <c r="FX113" s="1">
        <v>0</v>
      </c>
      <c r="GA113" s="1">
        <v>0</v>
      </c>
      <c r="GB113" s="1">
        <v>0</v>
      </c>
      <c r="GC113" s="1">
        <v>2050.8663000000001</v>
      </c>
      <c r="GD113" s="1">
        <v>22.092199999999998</v>
      </c>
      <c r="GE113" s="25">
        <v>0</v>
      </c>
      <c r="GF113" s="25">
        <v>0</v>
      </c>
      <c r="GG113" s="1">
        <v>155.99600000000001</v>
      </c>
      <c r="GH113" s="24">
        <v>91.687700000000007</v>
      </c>
    </row>
    <row r="114" spans="1:190" ht="12.75" customHeight="1">
      <c r="A114" s="1" t="s">
        <v>1354</v>
      </c>
      <c r="B114" s="15" t="s">
        <v>1353</v>
      </c>
      <c r="C114" s="1">
        <v>46698371</v>
      </c>
      <c r="D114" s="1">
        <v>0</v>
      </c>
      <c r="E114" s="1">
        <v>0</v>
      </c>
      <c r="F114" s="1">
        <v>1</v>
      </c>
      <c r="G114" s="12">
        <v>1</v>
      </c>
      <c r="I114" s="3">
        <v>42096</v>
      </c>
      <c r="J114" s="3">
        <v>42076</v>
      </c>
      <c r="K114" s="3">
        <v>19775</v>
      </c>
      <c r="L114" s="5">
        <f>(DAYS360(K114,I114))/365</f>
        <v>60.279452054794518</v>
      </c>
      <c r="M114" s="9" t="s">
        <v>5</v>
      </c>
      <c r="N114" s="1">
        <v>1</v>
      </c>
      <c r="O114" s="1">
        <v>0</v>
      </c>
      <c r="P114" s="1" t="s">
        <v>69</v>
      </c>
      <c r="Q114" s="1">
        <v>1</v>
      </c>
      <c r="R114" s="1" t="s">
        <v>209</v>
      </c>
      <c r="S114" s="1" t="s">
        <v>1352</v>
      </c>
      <c r="T114" s="1" t="s">
        <v>98</v>
      </c>
      <c r="U114" s="1">
        <v>1</v>
      </c>
      <c r="V114" s="1">
        <v>1</v>
      </c>
      <c r="W114" s="1">
        <v>0</v>
      </c>
      <c r="X114" s="1" t="s">
        <v>1351</v>
      </c>
      <c r="Y114" s="1">
        <v>3</v>
      </c>
      <c r="Z114" s="1">
        <v>2</v>
      </c>
      <c r="AA114" s="1" t="s">
        <v>116</v>
      </c>
      <c r="AC114" s="1">
        <v>3</v>
      </c>
      <c r="AD114" s="1" t="s">
        <v>1350</v>
      </c>
      <c r="AE114" s="1" t="s">
        <v>114</v>
      </c>
      <c r="AF114" s="1">
        <v>0</v>
      </c>
      <c r="AG114" s="1">
        <v>0</v>
      </c>
      <c r="AH114" s="1">
        <v>0</v>
      </c>
      <c r="AI114" s="3">
        <v>42096</v>
      </c>
      <c r="AJ114" s="3">
        <v>42135</v>
      </c>
      <c r="AK114" s="6" t="s">
        <v>1349</v>
      </c>
      <c r="AL114" s="6" t="s">
        <v>123</v>
      </c>
      <c r="AM114" s="1">
        <v>0</v>
      </c>
      <c r="AN114" s="1">
        <v>0</v>
      </c>
      <c r="AO114" s="1">
        <v>0</v>
      </c>
      <c r="AP114" s="1">
        <v>0</v>
      </c>
      <c r="AQ114" s="1">
        <v>0</v>
      </c>
      <c r="AR114" s="1">
        <v>0</v>
      </c>
      <c r="AS114" s="12">
        <f>IF(AND(AM114=0,AU114&lt;=2), 1, 0)</f>
        <v>1</v>
      </c>
      <c r="AT114" s="12">
        <v>1</v>
      </c>
      <c r="AU114" s="1">
        <v>2</v>
      </c>
      <c r="AV114" s="1">
        <v>0.5</v>
      </c>
      <c r="AW114" s="1">
        <v>0.5</v>
      </c>
      <c r="AX114" s="6" t="s">
        <v>45</v>
      </c>
      <c r="AY114" s="6" t="s">
        <v>45</v>
      </c>
      <c r="AZ114" s="1">
        <v>1</v>
      </c>
      <c r="BA114" s="1">
        <v>7.5</v>
      </c>
      <c r="BB114" s="1">
        <v>193.1</v>
      </c>
      <c r="BC114" s="1">
        <v>2</v>
      </c>
      <c r="BD114" s="1">
        <v>2</v>
      </c>
      <c r="BE114" s="1">
        <v>511.2</v>
      </c>
      <c r="BF114" s="1" t="s">
        <v>1335</v>
      </c>
      <c r="BG114" s="1">
        <v>45</v>
      </c>
      <c r="BH114" s="1">
        <v>45</v>
      </c>
      <c r="BI114" s="1">
        <v>0</v>
      </c>
      <c r="BJ114" s="1">
        <v>0</v>
      </c>
      <c r="BK114" s="1">
        <f>BH114+BI114</f>
        <v>45</v>
      </c>
      <c r="BL114" s="1">
        <v>25</v>
      </c>
      <c r="BM114" s="1">
        <v>1.8</v>
      </c>
      <c r="BN114" s="1" t="s">
        <v>110</v>
      </c>
      <c r="BO114" s="1">
        <v>0</v>
      </c>
      <c r="BP114" s="1">
        <v>1</v>
      </c>
      <c r="BQ114" s="1">
        <v>1</v>
      </c>
      <c r="BR114" s="3">
        <v>42096</v>
      </c>
      <c r="BS114" s="1" t="s">
        <v>61</v>
      </c>
      <c r="BT114" s="12" t="s">
        <v>60</v>
      </c>
      <c r="BU114" s="1">
        <v>5</v>
      </c>
      <c r="BV114" s="1">
        <v>1</v>
      </c>
      <c r="BW114" s="1">
        <v>9.17</v>
      </c>
      <c r="BX114" s="1">
        <v>0.66900000000000004</v>
      </c>
      <c r="BY114" s="1">
        <v>0.24</v>
      </c>
      <c r="BZ114" s="1">
        <v>12.8</v>
      </c>
      <c r="CA114" s="1">
        <v>299</v>
      </c>
      <c r="CB114" s="1">
        <v>1.57</v>
      </c>
      <c r="CC114" s="1">
        <v>24.3</v>
      </c>
      <c r="CD114" s="1">
        <v>5.3</v>
      </c>
      <c r="CE114" s="1">
        <v>1</v>
      </c>
      <c r="CF114" s="3">
        <v>42185</v>
      </c>
      <c r="CG114" s="7">
        <f>CF114-AJ114</f>
        <v>50</v>
      </c>
      <c r="CH114" s="1" t="s">
        <v>1057</v>
      </c>
      <c r="CI114" s="12" t="s">
        <v>183</v>
      </c>
      <c r="CJ114" s="17" t="s">
        <v>182</v>
      </c>
      <c r="CK114" s="1" t="s">
        <v>942</v>
      </c>
      <c r="CL114" s="1" t="s">
        <v>96</v>
      </c>
      <c r="CM114" s="1">
        <v>0</v>
      </c>
      <c r="CN114" s="12" t="str">
        <f>MID(CK114,4,1)</f>
        <v>1</v>
      </c>
      <c r="CO114" s="1" t="s">
        <v>1348</v>
      </c>
      <c r="CP114" s="1">
        <v>3</v>
      </c>
      <c r="CQ114" s="1" t="s">
        <v>1347</v>
      </c>
      <c r="CR114" s="1">
        <v>2.2000000000000002</v>
      </c>
      <c r="CS114" s="1" t="s">
        <v>1014</v>
      </c>
      <c r="CT114" s="1" t="s">
        <v>1346</v>
      </c>
      <c r="CU114" s="1" t="s">
        <v>472</v>
      </c>
      <c r="CV114" s="1">
        <v>0</v>
      </c>
      <c r="CW114" s="1">
        <v>14.5</v>
      </c>
      <c r="CX114" s="1">
        <v>14.5</v>
      </c>
      <c r="CY114" s="1">
        <v>0.3</v>
      </c>
      <c r="CZ114" s="1">
        <v>2</v>
      </c>
      <c r="DA114" s="1">
        <v>47</v>
      </c>
      <c r="DB114" s="2">
        <f>CZ114/DA114*100</f>
        <v>4.2553191489361701</v>
      </c>
      <c r="DC114" s="1">
        <v>1</v>
      </c>
      <c r="DD114" s="1">
        <v>0</v>
      </c>
      <c r="DE114" s="1">
        <v>0</v>
      </c>
      <c r="DF114" s="1">
        <v>0</v>
      </c>
      <c r="DG114" s="26" t="s">
        <v>1345</v>
      </c>
      <c r="DH114" s="7">
        <v>0</v>
      </c>
      <c r="DI114" s="7">
        <v>0</v>
      </c>
      <c r="DJ114" s="3">
        <v>42523</v>
      </c>
      <c r="DK114" s="1" t="s">
        <v>1344</v>
      </c>
      <c r="DL114" s="12">
        <f>(DJ114-I114)/365.25*12</f>
        <v>14.028747433264886</v>
      </c>
      <c r="DM114" s="1">
        <v>1</v>
      </c>
      <c r="DN114" s="1" t="s">
        <v>337</v>
      </c>
      <c r="DO114" s="3">
        <v>42233</v>
      </c>
      <c r="DP114" s="6" t="s">
        <v>133</v>
      </c>
      <c r="DQ114" s="7">
        <v>0</v>
      </c>
      <c r="DR114" s="3" t="s">
        <v>45</v>
      </c>
      <c r="DS114" s="10">
        <f>IF(DQ114=1, (DR114-$I114)/365.25*12, IF(DQ114=0, $DL114, "ERROR"))</f>
        <v>14.028747433264886</v>
      </c>
      <c r="DT114" s="7">
        <v>0</v>
      </c>
      <c r="DU114" s="7">
        <v>0</v>
      </c>
      <c r="DV114" s="7">
        <v>0</v>
      </c>
      <c r="DW114" s="16">
        <f>DU114*(1-DV114)</f>
        <v>0</v>
      </c>
      <c r="DX114" s="16">
        <f>(1-DU114)*DV114</f>
        <v>0</v>
      </c>
      <c r="DY114" s="16">
        <f>DU114*DV114</f>
        <v>0</v>
      </c>
      <c r="DZ114" s="3" t="s">
        <v>45</v>
      </c>
      <c r="EA114" s="10">
        <f>IF(DT114=1, (DZ114-$I114)/365.25*12, IF(DT114=0, $DL114, "ERROR"))</f>
        <v>14.028747433264886</v>
      </c>
      <c r="EB114" s="7">
        <v>0</v>
      </c>
      <c r="EC114" s="7">
        <v>0</v>
      </c>
      <c r="ED114" s="16">
        <f>1-((1-DQ114)*(1-DT114))</f>
        <v>0</v>
      </c>
      <c r="EE114" s="11" t="s">
        <v>45</v>
      </c>
      <c r="EF114" s="1" t="s">
        <v>132</v>
      </c>
      <c r="EG114" s="7" t="s">
        <v>45</v>
      </c>
      <c r="EH114" s="1" t="s">
        <v>45</v>
      </c>
      <c r="EI114" s="1">
        <v>1</v>
      </c>
      <c r="EJ114" s="16">
        <f>(1-DQ114)*DX114*(1-EI114)</f>
        <v>0</v>
      </c>
      <c r="EK114" s="3">
        <v>42233</v>
      </c>
      <c r="EL114" s="10">
        <f>IF(EI114=1, (EK114-$I114)/365.25*12, IF(EI114=0, $DL114, "ERROR"))</f>
        <v>4.5010266940451746</v>
      </c>
      <c r="EM114" s="1" t="s">
        <v>337</v>
      </c>
      <c r="EN114" s="7">
        <v>1</v>
      </c>
      <c r="EO114" s="7">
        <v>0</v>
      </c>
      <c r="EP114" s="7">
        <v>0</v>
      </c>
      <c r="EQ114" s="7">
        <v>0</v>
      </c>
      <c r="ER114" s="7">
        <v>0</v>
      </c>
      <c r="ES114" s="7">
        <v>0</v>
      </c>
      <c r="ET114" s="7">
        <v>0</v>
      </c>
      <c r="EU114" s="7">
        <v>0</v>
      </c>
      <c r="EV114" s="7">
        <v>0</v>
      </c>
      <c r="EW114" s="1">
        <f>1-((1-EP114)*(1-ET114)*(1-EU114)*(1-EV114))</f>
        <v>0</v>
      </c>
      <c r="EX114" s="7">
        <v>0</v>
      </c>
      <c r="EY114" s="7">
        <v>0</v>
      </c>
      <c r="EZ114" s="7">
        <v>0</v>
      </c>
      <c r="FA114" s="7">
        <v>0</v>
      </c>
      <c r="FB114" s="1" t="s">
        <v>45</v>
      </c>
      <c r="FC114" s="1">
        <v>1</v>
      </c>
      <c r="FD114" s="1">
        <v>1</v>
      </c>
      <c r="FF114" s="3">
        <v>42786</v>
      </c>
      <c r="FG114" s="3">
        <f>IF(FC114=1, FF114, IF(FD114=1, 44348, DJ114))</f>
        <v>42786</v>
      </c>
      <c r="FH114" s="13">
        <f>(FG114-I114)/365.25*12</f>
        <v>22.669404517453799</v>
      </c>
      <c r="FI114" s="20">
        <f>IF(DM114=1, (DO114-I114)/365.25*12, IF(DM114=0, DL114, "ERROR"))</f>
        <v>4.5010266940451746</v>
      </c>
      <c r="FJ114" s="14">
        <f>IF(OR(DM114,FC114), 1, 0)</f>
        <v>1</v>
      </c>
      <c r="FK114" s="11">
        <f>IF(DM114=1,IF(FC114=1,MIN(DO114,FF114),DO114),IF(FC114=1,FF114,DJ114))</f>
        <v>42233</v>
      </c>
      <c r="FL114" s="13">
        <f>(FK114-$I114)/365.25*12</f>
        <v>4.5010266940451746</v>
      </c>
      <c r="FM114" s="14">
        <f>IF(OR(ED114,FC114), 1, 0)</f>
        <v>1</v>
      </c>
      <c r="FN114" s="11">
        <f>IF(ED114=1,IF(FC114=1,MIN(EE114,FF114),EE114),IF(FC114=1,FF114,DJ114))</f>
        <v>42786</v>
      </c>
      <c r="FO114" s="13">
        <f>(FN114-$I114)/365.25*12</f>
        <v>22.669404517453799</v>
      </c>
      <c r="FP114" s="14">
        <f>IF(OR(EI114,FC114), 1, 0)</f>
        <v>1</v>
      </c>
      <c r="FQ114" s="11">
        <f>IF(EI114=1,IF(FC114=1,MIN(EK114,FF114),EK114),IF(FC114=1,FF114,DJ114))</f>
        <v>42233</v>
      </c>
      <c r="FR114" s="13">
        <f>(FQ114-$I114)/365.25*12</f>
        <v>4.5010266940451746</v>
      </c>
      <c r="FU114" s="1">
        <v>0</v>
      </c>
      <c r="FV114" s="1">
        <v>0</v>
      </c>
      <c r="FW114" s="1">
        <v>0</v>
      </c>
      <c r="FX114" s="1">
        <v>0</v>
      </c>
      <c r="GA114" s="1">
        <v>0.5</v>
      </c>
      <c r="GB114" s="1">
        <v>0.5</v>
      </c>
      <c r="GC114" s="1">
        <v>627.84190000000001</v>
      </c>
      <c r="GD114" s="1">
        <v>2.2694000000000001</v>
      </c>
      <c r="GE114" s="25">
        <v>0</v>
      </c>
      <c r="GF114" s="25">
        <v>0</v>
      </c>
      <c r="GG114" s="1">
        <v>327.74709999999999</v>
      </c>
      <c r="GH114" s="24">
        <v>51.818399999999997</v>
      </c>
    </row>
    <row r="115" spans="1:190" ht="12.75" customHeight="1">
      <c r="A115" s="1" t="s">
        <v>1235</v>
      </c>
      <c r="B115" s="15" t="s">
        <v>1234</v>
      </c>
      <c r="C115" s="1">
        <v>47014262</v>
      </c>
      <c r="D115" s="1">
        <v>0</v>
      </c>
      <c r="E115" s="1">
        <v>0</v>
      </c>
      <c r="F115" s="1">
        <v>1</v>
      </c>
      <c r="G115" s="12">
        <v>1</v>
      </c>
      <c r="I115" s="3">
        <v>42187</v>
      </c>
      <c r="J115" s="3">
        <v>42166</v>
      </c>
      <c r="K115" s="3">
        <v>25360</v>
      </c>
      <c r="L115" s="5">
        <f>(DAYS360(K115,I115))/365</f>
        <v>45.441095890410956</v>
      </c>
      <c r="M115" s="1" t="s">
        <v>1</v>
      </c>
      <c r="N115" s="1">
        <v>1</v>
      </c>
      <c r="O115" s="1">
        <v>0</v>
      </c>
      <c r="P115" s="1" t="s">
        <v>69</v>
      </c>
      <c r="Q115" s="1">
        <v>1</v>
      </c>
      <c r="R115" s="1" t="s">
        <v>18</v>
      </c>
      <c r="S115" s="1" t="s">
        <v>230</v>
      </c>
      <c r="T115" s="1" t="s">
        <v>67</v>
      </c>
      <c r="U115" s="1">
        <v>0</v>
      </c>
      <c r="V115" s="1">
        <v>0</v>
      </c>
      <c r="W115" s="1">
        <v>1</v>
      </c>
      <c r="X115" s="1" t="s">
        <v>296</v>
      </c>
      <c r="Y115" s="1">
        <v>2</v>
      </c>
      <c r="Z115" s="1">
        <v>1</v>
      </c>
      <c r="AA115" s="1" t="s">
        <v>65</v>
      </c>
      <c r="AC115" s="1">
        <v>2</v>
      </c>
      <c r="AD115" s="1" t="s">
        <v>1233</v>
      </c>
      <c r="AE115" s="1" t="s">
        <v>148</v>
      </c>
      <c r="AF115" s="1">
        <v>0</v>
      </c>
      <c r="AG115" s="1">
        <v>0</v>
      </c>
      <c r="AH115" s="1">
        <v>0</v>
      </c>
      <c r="AI115" s="3">
        <v>42187</v>
      </c>
      <c r="AJ115" s="3">
        <v>42223</v>
      </c>
      <c r="AK115" s="6" t="s">
        <v>1232</v>
      </c>
      <c r="AL115" s="6" t="s">
        <v>1231</v>
      </c>
      <c r="AM115" s="1">
        <v>0</v>
      </c>
      <c r="AN115" s="1">
        <v>0</v>
      </c>
      <c r="AO115" s="1">
        <v>0</v>
      </c>
      <c r="AP115" s="1">
        <v>0</v>
      </c>
      <c r="AQ115" s="1">
        <v>0</v>
      </c>
      <c r="AR115" s="1">
        <v>0</v>
      </c>
      <c r="AS115" s="12">
        <f>IF(AND(AM115=0,AU115&lt;=2), 1, 0)</f>
        <v>1</v>
      </c>
      <c r="AT115" s="12">
        <v>1</v>
      </c>
      <c r="AU115" s="1">
        <v>2</v>
      </c>
      <c r="AV115" s="1">
        <v>0.5</v>
      </c>
      <c r="AW115" s="1">
        <v>0.5</v>
      </c>
      <c r="AX115" s="6" t="s">
        <v>45</v>
      </c>
      <c r="AY115" s="6" t="s">
        <v>45</v>
      </c>
      <c r="AZ115" s="1">
        <v>0.5</v>
      </c>
      <c r="BA115" s="1">
        <v>4</v>
      </c>
      <c r="BB115" s="1">
        <v>155.6</v>
      </c>
      <c r="BC115" s="1">
        <v>2</v>
      </c>
      <c r="BD115" s="1">
        <v>2</v>
      </c>
      <c r="BE115" s="1">
        <v>491.4</v>
      </c>
      <c r="BF115" s="6" t="s">
        <v>1230</v>
      </c>
      <c r="BG115" s="1">
        <v>45</v>
      </c>
      <c r="BH115" s="1">
        <v>45</v>
      </c>
      <c r="BI115" s="1">
        <v>0</v>
      </c>
      <c r="BJ115" s="1">
        <v>0</v>
      </c>
      <c r="BK115" s="1">
        <f>BH115+BI115</f>
        <v>45</v>
      </c>
      <c r="BL115" s="1">
        <v>25</v>
      </c>
      <c r="BM115" s="1">
        <v>1.8</v>
      </c>
      <c r="BN115" s="1" t="s">
        <v>110</v>
      </c>
      <c r="BO115" s="1">
        <v>0</v>
      </c>
      <c r="BP115" s="1">
        <v>1</v>
      </c>
      <c r="BQ115" s="1">
        <v>1</v>
      </c>
      <c r="BR115" s="3">
        <v>42187</v>
      </c>
      <c r="BS115" s="1" t="s">
        <v>61</v>
      </c>
      <c r="BT115" s="12" t="s">
        <v>60</v>
      </c>
      <c r="BU115" s="1">
        <v>5</v>
      </c>
      <c r="BV115" s="1">
        <v>1</v>
      </c>
      <c r="BW115" s="1">
        <v>6.83</v>
      </c>
      <c r="BX115" s="1">
        <v>0.57599999999999996</v>
      </c>
      <c r="BY115" s="1">
        <v>0.35299999999999998</v>
      </c>
      <c r="BZ115" s="1">
        <v>13</v>
      </c>
      <c r="CA115" s="1">
        <v>305</v>
      </c>
      <c r="CB115" s="1">
        <v>1.35</v>
      </c>
      <c r="CC115" s="1">
        <v>14.9</v>
      </c>
      <c r="CD115" s="1">
        <v>2.2999999999999998</v>
      </c>
      <c r="CE115" s="1">
        <v>1</v>
      </c>
      <c r="CF115" s="3">
        <v>42271</v>
      </c>
      <c r="CG115" s="7">
        <f>CF115-AJ115</f>
        <v>48</v>
      </c>
      <c r="CH115" s="1" t="s">
        <v>1229</v>
      </c>
      <c r="CI115" s="17" t="s">
        <v>460</v>
      </c>
      <c r="CJ115" s="17" t="s">
        <v>182</v>
      </c>
      <c r="CK115" s="1" t="s">
        <v>811</v>
      </c>
      <c r="CL115" s="1" t="s">
        <v>45</v>
      </c>
      <c r="CM115" s="1">
        <v>1</v>
      </c>
      <c r="CN115" s="12" t="str">
        <f>MID(CK115,4,1)</f>
        <v>0</v>
      </c>
      <c r="CO115" s="1" t="s">
        <v>1025</v>
      </c>
      <c r="CP115" s="1">
        <v>0</v>
      </c>
      <c r="CQ115" s="1" t="s">
        <v>45</v>
      </c>
      <c r="CR115" s="1">
        <v>0</v>
      </c>
      <c r="CS115" s="1" t="s">
        <v>45</v>
      </c>
      <c r="CT115" s="1" t="s">
        <v>45</v>
      </c>
      <c r="CU115" s="1" t="s">
        <v>45</v>
      </c>
      <c r="CV115" s="1">
        <v>0</v>
      </c>
      <c r="CW115" s="1" t="s">
        <v>45</v>
      </c>
      <c r="CX115" s="1" t="s">
        <v>45</v>
      </c>
      <c r="CY115" s="1" t="s">
        <v>45</v>
      </c>
      <c r="CZ115" s="1">
        <v>0</v>
      </c>
      <c r="DA115" s="1">
        <v>49</v>
      </c>
      <c r="DB115" s="2">
        <f>CZ115/DA115*100</f>
        <v>0</v>
      </c>
      <c r="DC115" s="1">
        <v>0</v>
      </c>
      <c r="DD115" s="1">
        <v>0</v>
      </c>
      <c r="DE115" s="1">
        <v>0</v>
      </c>
      <c r="DF115" s="1" t="s">
        <v>45</v>
      </c>
      <c r="DG115" s="26" t="s">
        <v>1228</v>
      </c>
      <c r="DH115" s="7">
        <v>0</v>
      </c>
      <c r="DI115" s="7">
        <v>0</v>
      </c>
      <c r="DJ115" s="3">
        <v>44832</v>
      </c>
      <c r="DK115" s="1" t="s">
        <v>1227</v>
      </c>
      <c r="DL115" s="12">
        <f>(DJ115-I115)/365.25*12</f>
        <v>86.899383983572903</v>
      </c>
      <c r="DM115" s="1">
        <v>0</v>
      </c>
      <c r="DN115" s="1" t="s">
        <v>45</v>
      </c>
      <c r="DO115" s="1" t="s">
        <v>45</v>
      </c>
      <c r="DP115" s="6" t="s">
        <v>45</v>
      </c>
      <c r="DQ115" s="7">
        <v>0</v>
      </c>
      <c r="DR115" s="3" t="s">
        <v>45</v>
      </c>
      <c r="DS115" s="10">
        <f>IF(DQ115=1, (DR115-$I115)/365.25*12, IF(DQ115=0, $DL115, "ERROR"))</f>
        <v>86.899383983572903</v>
      </c>
      <c r="DT115" s="7">
        <v>0</v>
      </c>
      <c r="DU115" s="7">
        <v>0</v>
      </c>
      <c r="DV115" s="7">
        <v>0</v>
      </c>
      <c r="DW115" s="16">
        <f>DU115*(1-DV115)</f>
        <v>0</v>
      </c>
      <c r="DX115" s="16">
        <f>(1-DU115)*DV115</f>
        <v>0</v>
      </c>
      <c r="DY115" s="16">
        <f>DU115*DV115</f>
        <v>0</v>
      </c>
      <c r="DZ115" s="3" t="s">
        <v>45</v>
      </c>
      <c r="EA115" s="10">
        <f>IF(DT115=1, (DZ115-$I115)/365.25*12, IF(DT115=0, $DL115, "ERROR"))</f>
        <v>86.899383983572903</v>
      </c>
      <c r="EB115" s="7">
        <v>0</v>
      </c>
      <c r="EC115" s="7">
        <v>0</v>
      </c>
      <c r="ED115" s="16">
        <f>1-((1-DQ115)*(1-DT115))</f>
        <v>0</v>
      </c>
      <c r="EE115" s="11" t="s">
        <v>45</v>
      </c>
      <c r="EF115" s="1" t="s">
        <v>45</v>
      </c>
      <c r="EG115" s="7" t="s">
        <v>45</v>
      </c>
      <c r="EH115" s="1" t="s">
        <v>45</v>
      </c>
      <c r="EI115" s="1">
        <v>0</v>
      </c>
      <c r="EJ115" s="16">
        <f>(1-DQ115)*DX115*(1-EI115)</f>
        <v>0</v>
      </c>
      <c r="EK115" s="1" t="s">
        <v>45</v>
      </c>
      <c r="EL115" s="10">
        <f>IF(EI115=1, (EK115-$I115)/365.25*12, IF(EI115=0, $DL115, "ERROR"))</f>
        <v>86.899383983572903</v>
      </c>
      <c r="EM115" s="1" t="s">
        <v>45</v>
      </c>
      <c r="EN115" s="1">
        <v>0</v>
      </c>
      <c r="EO115" s="1">
        <v>0</v>
      </c>
      <c r="EP115" s="1">
        <v>0</v>
      </c>
      <c r="EQ115" s="1">
        <v>0</v>
      </c>
      <c r="ER115" s="1">
        <v>0</v>
      </c>
      <c r="ES115" s="1">
        <v>0</v>
      </c>
      <c r="ET115" s="1">
        <v>0</v>
      </c>
      <c r="EU115" s="1">
        <v>0</v>
      </c>
      <c r="EV115" s="1">
        <v>0</v>
      </c>
      <c r="EW115" s="1">
        <f>1-((1-EP115)*(1-ET115)*(1-EU115)*(1-EV115))</f>
        <v>0</v>
      </c>
      <c r="EX115" s="7">
        <v>0</v>
      </c>
      <c r="EY115" s="7">
        <v>0</v>
      </c>
      <c r="EZ115" s="7">
        <v>0</v>
      </c>
      <c r="FA115" s="7">
        <v>0</v>
      </c>
      <c r="FB115" s="1" t="s">
        <v>45</v>
      </c>
      <c r="FC115" s="1">
        <v>0</v>
      </c>
      <c r="FD115" s="1">
        <v>1</v>
      </c>
      <c r="FF115" s="1" t="s">
        <v>45</v>
      </c>
      <c r="FG115" s="3">
        <f>IF(FC115=1, FF115, IF(FD115=1, 44348, DJ115))</f>
        <v>44348</v>
      </c>
      <c r="FH115" s="13">
        <f>(FG115-I115)/365.25*12</f>
        <v>70.99794661190964</v>
      </c>
      <c r="FI115" s="20">
        <f>IF(DM115=1, (DO115-I115)/365.25*12, IF(DM115=0, DL115, "ERROR"))</f>
        <v>86.899383983572903</v>
      </c>
      <c r="FJ115" s="14">
        <f>IF(OR(DM115,FC115), 1, 0)</f>
        <v>0</v>
      </c>
      <c r="FK115" s="11">
        <f>IF(DM115=1,IF(FC115=1,MIN(DO115,FF115),DO115),IF(FC115=1,FF115,DJ115))</f>
        <v>44832</v>
      </c>
      <c r="FL115" s="13">
        <f>(FK115-$I115)/365.25*12</f>
        <v>86.899383983572903</v>
      </c>
      <c r="FM115" s="14">
        <f>IF(OR(ED115,FC115), 1, 0)</f>
        <v>0</v>
      </c>
      <c r="FN115" s="11">
        <f>IF(ED115=1,IF(FC115=1,MIN(EE115,FF115),EE115),IF(FC115=1,FF115,DJ115))</f>
        <v>44832</v>
      </c>
      <c r="FO115" s="13">
        <f>(FN115-$I115)/365.25*12</f>
        <v>86.899383983572903</v>
      </c>
      <c r="FP115" s="14">
        <f>IF(OR(EI115,FC115), 1, 0)</f>
        <v>0</v>
      </c>
      <c r="FQ115" s="11">
        <f>IF(EI115=1,IF(FC115=1,MIN(EK115,FF115),EK115),IF(FC115=1,FF115,DJ115))</f>
        <v>44832</v>
      </c>
      <c r="FR115" s="13">
        <f>(FQ115-$I115)/365.25*12</f>
        <v>86.899383983572903</v>
      </c>
      <c r="FU115" s="1">
        <v>0</v>
      </c>
      <c r="FV115" s="1">
        <v>0</v>
      </c>
      <c r="FW115" s="1">
        <v>0</v>
      </c>
      <c r="FX115" s="1">
        <v>0</v>
      </c>
      <c r="GA115" s="1">
        <v>12</v>
      </c>
      <c r="GB115" s="1">
        <v>10</v>
      </c>
      <c r="GC115" s="1">
        <v>965.24019999999996</v>
      </c>
      <c r="GD115" s="1">
        <v>298.13709999999998</v>
      </c>
      <c r="GE115" s="25">
        <v>10</v>
      </c>
      <c r="GF115" s="25">
        <v>10</v>
      </c>
      <c r="GG115" s="1">
        <v>1100.0632000000001</v>
      </c>
      <c r="GH115" s="24">
        <v>1062.9879000000001</v>
      </c>
    </row>
    <row r="116" spans="1:190" ht="12.75" customHeight="1">
      <c r="A116" s="1" t="s">
        <v>1226</v>
      </c>
      <c r="B116" s="15" t="s">
        <v>1225</v>
      </c>
      <c r="C116" s="1">
        <v>47026551</v>
      </c>
      <c r="D116" s="1">
        <v>0</v>
      </c>
      <c r="E116" s="1">
        <v>0</v>
      </c>
      <c r="F116" s="1">
        <v>1</v>
      </c>
      <c r="G116" s="12">
        <v>1</v>
      </c>
      <c r="I116" s="3">
        <v>42198</v>
      </c>
      <c r="J116" s="3">
        <v>42181</v>
      </c>
      <c r="K116" s="3">
        <v>22142</v>
      </c>
      <c r="L116" s="5">
        <f>(DAYS360(K116,I116))/365</f>
        <v>54.161643835616438</v>
      </c>
      <c r="M116" s="1" t="s">
        <v>5</v>
      </c>
      <c r="N116" s="1">
        <v>1</v>
      </c>
      <c r="O116" s="1">
        <v>0</v>
      </c>
      <c r="P116" s="1" t="s">
        <v>161</v>
      </c>
      <c r="Q116" s="1">
        <v>0</v>
      </c>
      <c r="R116" s="1" t="s">
        <v>18</v>
      </c>
      <c r="S116" s="1">
        <v>35</v>
      </c>
      <c r="T116" s="1" t="s">
        <v>67</v>
      </c>
      <c r="U116" s="1">
        <v>0</v>
      </c>
      <c r="V116" s="1">
        <v>0</v>
      </c>
      <c r="W116" s="1">
        <v>1</v>
      </c>
      <c r="X116" s="1" t="s">
        <v>117</v>
      </c>
      <c r="Y116" s="1">
        <v>3</v>
      </c>
      <c r="Z116" s="1">
        <v>1</v>
      </c>
      <c r="AA116" s="1" t="s">
        <v>116</v>
      </c>
      <c r="AC116" s="1">
        <v>3</v>
      </c>
      <c r="AD116" s="1" t="s">
        <v>1224</v>
      </c>
      <c r="AE116" s="1" t="s">
        <v>148</v>
      </c>
      <c r="AF116" s="1">
        <v>0</v>
      </c>
      <c r="AG116" s="1">
        <v>0</v>
      </c>
      <c r="AH116" s="1">
        <v>0</v>
      </c>
      <c r="AI116" s="3">
        <v>42198</v>
      </c>
      <c r="AJ116" s="3">
        <v>42235</v>
      </c>
      <c r="AK116" s="6" t="s">
        <v>1223</v>
      </c>
      <c r="AL116" s="6" t="s">
        <v>1222</v>
      </c>
      <c r="AM116" s="1">
        <v>1</v>
      </c>
      <c r="AN116" s="1">
        <v>1</v>
      </c>
      <c r="AO116" s="1">
        <v>0</v>
      </c>
      <c r="AP116" s="1">
        <v>0</v>
      </c>
      <c r="AQ116" s="1">
        <v>0</v>
      </c>
      <c r="AR116" s="1">
        <v>0</v>
      </c>
      <c r="AS116" s="12">
        <f>IF(AND(AM116=0,AU116&lt;=2), 1, 0)</f>
        <v>0</v>
      </c>
      <c r="AT116" s="12">
        <v>0</v>
      </c>
      <c r="AU116" s="1">
        <v>2</v>
      </c>
      <c r="AV116" s="1">
        <v>0.5</v>
      </c>
      <c r="AW116" s="1">
        <v>0.5</v>
      </c>
      <c r="AX116" s="6" t="s">
        <v>45</v>
      </c>
      <c r="AY116" s="6" t="s">
        <v>45</v>
      </c>
      <c r="AZ116" s="1">
        <v>1</v>
      </c>
      <c r="BA116" s="1">
        <f>3.9+3.9+0.3</f>
        <v>8.1</v>
      </c>
      <c r="BB116" s="1">
        <v>180.4</v>
      </c>
      <c r="BC116" s="1">
        <f>7.2-4.2+0.3</f>
        <v>3.3</v>
      </c>
      <c r="BD116" s="1">
        <v>2</v>
      </c>
      <c r="BE116" s="1">
        <v>524.5</v>
      </c>
      <c r="BF116" s="6" t="s">
        <v>1222</v>
      </c>
      <c r="BG116" s="1">
        <v>45</v>
      </c>
      <c r="BH116" s="1">
        <v>45</v>
      </c>
      <c r="BI116" s="1">
        <v>0</v>
      </c>
      <c r="BJ116" s="1">
        <v>0</v>
      </c>
      <c r="BK116" s="1">
        <f>BH116+BI116</f>
        <v>45</v>
      </c>
      <c r="BL116" s="1">
        <v>25</v>
      </c>
      <c r="BM116" s="1">
        <v>1.8</v>
      </c>
      <c r="BN116" s="1" t="s">
        <v>110</v>
      </c>
      <c r="BO116" s="1">
        <v>0</v>
      </c>
      <c r="BP116" s="1">
        <v>1</v>
      </c>
      <c r="BQ116" s="1">
        <v>1</v>
      </c>
      <c r="BR116" s="3">
        <v>42201</v>
      </c>
      <c r="BS116" s="1" t="s">
        <v>61</v>
      </c>
      <c r="BT116" s="12" t="s">
        <v>60</v>
      </c>
      <c r="BU116" s="1">
        <v>5</v>
      </c>
      <c r="BV116" s="1">
        <v>1</v>
      </c>
      <c r="BW116" s="1">
        <v>12.66</v>
      </c>
      <c r="BX116" s="1">
        <v>0.71899999999999997</v>
      </c>
      <c r="BY116" s="1">
        <v>0.19700000000000001</v>
      </c>
      <c r="BZ116" s="1">
        <v>14.8</v>
      </c>
      <c r="CA116" s="1">
        <v>275</v>
      </c>
      <c r="CB116" s="1">
        <v>1.8</v>
      </c>
      <c r="CC116" s="1">
        <v>25.7</v>
      </c>
      <c r="CD116" s="1">
        <v>5.5</v>
      </c>
      <c r="CE116" s="1">
        <v>1</v>
      </c>
      <c r="CF116" s="3">
        <v>42269</v>
      </c>
      <c r="CG116" s="7">
        <f>CF116-AJ116</f>
        <v>34</v>
      </c>
      <c r="CH116" s="1" t="s">
        <v>1221</v>
      </c>
      <c r="CI116" s="17" t="s">
        <v>460</v>
      </c>
      <c r="CJ116" s="1" t="s">
        <v>515</v>
      </c>
      <c r="CK116" s="1" t="s">
        <v>1056</v>
      </c>
      <c r="CL116" s="1" t="s">
        <v>458</v>
      </c>
      <c r="CM116" s="1">
        <v>0</v>
      </c>
      <c r="CN116" s="12" t="str">
        <f>MID(CK116,4,1)</f>
        <v>2</v>
      </c>
      <c r="CO116" s="1" t="s">
        <v>1004</v>
      </c>
      <c r="CP116" s="1">
        <v>1</v>
      </c>
      <c r="CQ116" s="1" t="s">
        <v>1220</v>
      </c>
      <c r="CR116" s="1">
        <v>1.1000000000000001</v>
      </c>
      <c r="CS116" s="1" t="s">
        <v>1209</v>
      </c>
      <c r="CT116" s="1" t="s">
        <v>511</v>
      </c>
      <c r="CU116" s="1" t="s">
        <v>472</v>
      </c>
      <c r="CV116" s="1">
        <v>0</v>
      </c>
      <c r="CW116" s="1">
        <v>2.9</v>
      </c>
      <c r="CX116" s="1">
        <v>12.6</v>
      </c>
      <c r="CY116" s="1">
        <v>0.4</v>
      </c>
      <c r="CZ116" s="1">
        <v>0</v>
      </c>
      <c r="DA116" s="1">
        <v>37</v>
      </c>
      <c r="DB116" s="2">
        <f>CZ116/DA116*100</f>
        <v>0</v>
      </c>
      <c r="DC116" s="1">
        <v>0</v>
      </c>
      <c r="DD116" s="1">
        <v>0</v>
      </c>
      <c r="DE116" s="1">
        <v>0</v>
      </c>
      <c r="DF116" s="1">
        <v>0</v>
      </c>
      <c r="DG116" s="26" t="s">
        <v>1219</v>
      </c>
      <c r="DH116" s="7">
        <v>0</v>
      </c>
      <c r="DI116" s="7">
        <v>0</v>
      </c>
      <c r="DJ116" s="3">
        <v>44860</v>
      </c>
      <c r="DK116" s="1" t="s">
        <v>75</v>
      </c>
      <c r="DL116" s="12">
        <f>(DJ116-I116)/365.25*12</f>
        <v>87.457905544147849</v>
      </c>
      <c r="DM116" s="1">
        <v>0</v>
      </c>
      <c r="DN116" s="1" t="s">
        <v>45</v>
      </c>
      <c r="DO116" s="1" t="s">
        <v>45</v>
      </c>
      <c r="DP116" s="6" t="s">
        <v>45</v>
      </c>
      <c r="DQ116" s="7">
        <v>0</v>
      </c>
      <c r="DR116" s="3" t="s">
        <v>45</v>
      </c>
      <c r="DS116" s="10">
        <f>IF(DQ116=1, (DR116-$I116)/365.25*12, IF(DQ116=0, $DL116, "ERROR"))</f>
        <v>87.457905544147849</v>
      </c>
      <c r="DT116" s="7">
        <v>0</v>
      </c>
      <c r="DU116" s="7">
        <v>0</v>
      </c>
      <c r="DV116" s="7">
        <v>0</v>
      </c>
      <c r="DW116" s="16">
        <f>DU116*(1-DV116)</f>
        <v>0</v>
      </c>
      <c r="DX116" s="16">
        <f>(1-DU116)*DV116</f>
        <v>0</v>
      </c>
      <c r="DY116" s="16">
        <f>DU116*DV116</f>
        <v>0</v>
      </c>
      <c r="DZ116" s="3" t="s">
        <v>45</v>
      </c>
      <c r="EA116" s="10">
        <f>IF(DT116=1, (DZ116-$I116)/365.25*12, IF(DT116=0, $DL116, "ERROR"))</f>
        <v>87.457905544147849</v>
      </c>
      <c r="EB116" s="7">
        <v>0</v>
      </c>
      <c r="EC116" s="7">
        <v>0</v>
      </c>
      <c r="ED116" s="16">
        <f>1-((1-DQ116)*(1-DT116))</f>
        <v>0</v>
      </c>
      <c r="EE116" s="11" t="s">
        <v>45</v>
      </c>
      <c r="EF116" s="1" t="s">
        <v>45</v>
      </c>
      <c r="EG116" s="7" t="s">
        <v>45</v>
      </c>
      <c r="EH116" s="1" t="s">
        <v>45</v>
      </c>
      <c r="EI116" s="1">
        <v>0</v>
      </c>
      <c r="EJ116" s="16">
        <f>(1-DQ116)*DX116*(1-EI116)</f>
        <v>0</v>
      </c>
      <c r="EK116" s="1" t="s">
        <v>45</v>
      </c>
      <c r="EL116" s="10">
        <f>IF(EI116=1, (EK116-$I116)/365.25*12, IF(EI116=0, $DL116, "ERROR"))</f>
        <v>87.457905544147849</v>
      </c>
      <c r="EM116" s="1" t="s">
        <v>45</v>
      </c>
      <c r="EN116" s="1">
        <v>0</v>
      </c>
      <c r="EO116" s="1">
        <v>0</v>
      </c>
      <c r="EP116" s="1">
        <v>0</v>
      </c>
      <c r="EQ116" s="1">
        <v>0</v>
      </c>
      <c r="ER116" s="1">
        <v>0</v>
      </c>
      <c r="ES116" s="1">
        <v>0</v>
      </c>
      <c r="ET116" s="1">
        <v>0</v>
      </c>
      <c r="EU116" s="1">
        <v>0</v>
      </c>
      <c r="EV116" s="1">
        <v>0</v>
      </c>
      <c r="EW116" s="1">
        <f>1-((1-EP116)*(1-ET116)*(1-EU116)*(1-EV116))</f>
        <v>0</v>
      </c>
      <c r="EX116" s="7">
        <v>0</v>
      </c>
      <c r="EY116" s="7">
        <v>0</v>
      </c>
      <c r="EZ116" s="7">
        <v>0</v>
      </c>
      <c r="FA116" s="7">
        <v>0</v>
      </c>
      <c r="FB116" s="1" t="s">
        <v>45</v>
      </c>
      <c r="FC116" s="1">
        <v>0</v>
      </c>
      <c r="FD116" s="1">
        <v>1</v>
      </c>
      <c r="FF116" s="1" t="s">
        <v>45</v>
      </c>
      <c r="FG116" s="3">
        <f>IF(FC116=1, FF116, IF(FD116=1, 44348, DJ116))</f>
        <v>44348</v>
      </c>
      <c r="FH116" s="13">
        <f>(FG116-I116)/365.25*12</f>
        <v>70.636550308008211</v>
      </c>
      <c r="FI116" s="20">
        <f>IF(DM116=1, (DO116-I116)/365.25*12, IF(DM116=0, DL116, "ERROR"))</f>
        <v>87.457905544147849</v>
      </c>
      <c r="FJ116" s="14">
        <f>IF(OR(DM116,FC116), 1, 0)</f>
        <v>0</v>
      </c>
      <c r="FK116" s="11">
        <f>IF(DM116=1,IF(FC116=1,MIN(DO116,FF116),DO116),IF(FC116=1,FF116,DJ116))</f>
        <v>44860</v>
      </c>
      <c r="FL116" s="13">
        <f>(FK116-$I116)/365.25*12</f>
        <v>87.457905544147849</v>
      </c>
      <c r="FM116" s="14">
        <f>IF(OR(ED116,FC116), 1, 0)</f>
        <v>0</v>
      </c>
      <c r="FN116" s="11">
        <f>IF(ED116=1,IF(FC116=1,MIN(EE116,FF116),EE116),IF(FC116=1,FF116,DJ116))</f>
        <v>44860</v>
      </c>
      <c r="FO116" s="13">
        <f>(FN116-$I116)/365.25*12</f>
        <v>87.457905544147849</v>
      </c>
      <c r="FP116" s="14">
        <f>IF(OR(EI116,FC116), 1, 0)</f>
        <v>0</v>
      </c>
      <c r="FQ116" s="11">
        <f>IF(EI116=1,IF(FC116=1,MIN(EK116,FF116),EK116),IF(FC116=1,FF116,DJ116))</f>
        <v>44860</v>
      </c>
      <c r="FR116" s="13">
        <f>(FQ116-$I116)/365.25*12</f>
        <v>87.457905544147849</v>
      </c>
      <c r="FU116" s="1">
        <v>0</v>
      </c>
      <c r="FV116" s="1">
        <v>0</v>
      </c>
      <c r="FW116" s="1">
        <v>0</v>
      </c>
      <c r="FX116" s="1">
        <v>0</v>
      </c>
      <c r="GA116" s="1">
        <v>5</v>
      </c>
      <c r="GB116" s="1">
        <v>3</v>
      </c>
      <c r="GC116" s="1">
        <v>376.44799999999998</v>
      </c>
      <c r="GD116" s="1">
        <v>17.670000000000002</v>
      </c>
      <c r="GE116" s="25">
        <v>0</v>
      </c>
      <c r="GF116" s="25">
        <v>0</v>
      </c>
      <c r="GG116" s="1">
        <v>351.8331</v>
      </c>
      <c r="GH116" s="24">
        <v>233.9597</v>
      </c>
    </row>
    <row r="117" spans="1:190" ht="12.75" customHeight="1">
      <c r="A117" s="1" t="s">
        <v>1374</v>
      </c>
      <c r="B117" s="15" t="s">
        <v>1373</v>
      </c>
      <c r="C117" s="1">
        <v>47047248</v>
      </c>
      <c r="D117" s="1">
        <v>0</v>
      </c>
      <c r="E117" s="1">
        <v>0</v>
      </c>
      <c r="F117" s="1">
        <v>1</v>
      </c>
      <c r="G117" s="12">
        <v>1</v>
      </c>
      <c r="I117" s="3">
        <v>42205</v>
      </c>
      <c r="J117" s="3">
        <v>42188</v>
      </c>
      <c r="K117" s="3">
        <v>23906</v>
      </c>
      <c r="L117" s="5">
        <f>(DAYS360(K117,I117))/365</f>
        <v>49.416438356164385</v>
      </c>
      <c r="M117" s="1" t="s">
        <v>5</v>
      </c>
      <c r="N117" s="1">
        <v>1</v>
      </c>
      <c r="O117" s="1">
        <v>0</v>
      </c>
      <c r="P117" s="1" t="s">
        <v>69</v>
      </c>
      <c r="Q117" s="1">
        <v>1</v>
      </c>
      <c r="R117" s="1" t="s">
        <v>209</v>
      </c>
      <c r="S117" s="1">
        <v>32</v>
      </c>
      <c r="T117" s="1" t="s">
        <v>150</v>
      </c>
      <c r="U117" s="1">
        <v>0</v>
      </c>
      <c r="V117" s="1">
        <v>1</v>
      </c>
      <c r="W117" s="1">
        <v>1</v>
      </c>
      <c r="X117" s="1" t="s">
        <v>117</v>
      </c>
      <c r="Y117" s="1">
        <v>3</v>
      </c>
      <c r="Z117" s="1">
        <v>1</v>
      </c>
      <c r="AA117" s="1" t="s">
        <v>116</v>
      </c>
      <c r="AC117" s="1">
        <v>3</v>
      </c>
      <c r="AD117" s="1" t="s">
        <v>1372</v>
      </c>
      <c r="AE117" s="1" t="s">
        <v>1371</v>
      </c>
      <c r="AF117" s="1">
        <v>0</v>
      </c>
      <c r="AG117" s="1">
        <v>0</v>
      </c>
      <c r="AH117" s="1">
        <v>0</v>
      </c>
      <c r="AI117" s="3">
        <v>42205</v>
      </c>
      <c r="AJ117" s="3">
        <v>42244</v>
      </c>
      <c r="AK117" s="6" t="s">
        <v>1370</v>
      </c>
      <c r="AL117" s="6" t="s">
        <v>123</v>
      </c>
      <c r="AM117" s="1">
        <v>1</v>
      </c>
      <c r="AN117" s="1">
        <v>1</v>
      </c>
      <c r="AO117" s="1">
        <v>0</v>
      </c>
      <c r="AP117" s="1">
        <v>0</v>
      </c>
      <c r="AQ117" s="1">
        <v>0</v>
      </c>
      <c r="AR117" s="1">
        <v>0</v>
      </c>
      <c r="AS117" s="12">
        <f>IF(AND(AM117=0,AU117&lt;=2), 1, 0)</f>
        <v>0</v>
      </c>
      <c r="AT117" s="12">
        <v>0</v>
      </c>
      <c r="AU117" s="1">
        <v>2</v>
      </c>
      <c r="AV117" s="1">
        <v>0.5</v>
      </c>
      <c r="AW117" s="1"/>
      <c r="AX117" s="6" t="s">
        <v>45</v>
      </c>
      <c r="AY117" s="6" t="s">
        <v>45</v>
      </c>
      <c r="AZ117" s="6" t="s">
        <v>111</v>
      </c>
      <c r="BA117" s="1">
        <v>4.5</v>
      </c>
      <c r="BB117" s="1">
        <v>167.5</v>
      </c>
      <c r="BC117" s="1">
        <f>15.6-2.4+0.3</f>
        <v>13.5</v>
      </c>
      <c r="BD117" s="1">
        <v>2</v>
      </c>
      <c r="BE117" s="1">
        <v>471.4</v>
      </c>
      <c r="BF117" s="1" t="s">
        <v>1335</v>
      </c>
      <c r="BG117" s="1">
        <v>45</v>
      </c>
      <c r="BH117" s="1">
        <v>45</v>
      </c>
      <c r="BI117" s="1">
        <v>0</v>
      </c>
      <c r="BJ117" s="1">
        <v>0</v>
      </c>
      <c r="BK117" s="1">
        <f>BH117+BI117</f>
        <v>45</v>
      </c>
      <c r="BL117" s="1">
        <v>25</v>
      </c>
      <c r="BM117" s="1">
        <v>1.8</v>
      </c>
      <c r="BN117" s="1" t="s">
        <v>110</v>
      </c>
      <c r="BO117" s="1">
        <v>0</v>
      </c>
      <c r="BP117" s="1">
        <v>1</v>
      </c>
      <c r="BQ117" s="1">
        <v>1</v>
      </c>
      <c r="BR117" s="3">
        <v>42205</v>
      </c>
      <c r="BS117" s="1" t="s">
        <v>61</v>
      </c>
      <c r="BT117" s="12" t="s">
        <v>60</v>
      </c>
      <c r="BU117" s="1">
        <v>5</v>
      </c>
      <c r="BV117" s="1">
        <v>1</v>
      </c>
      <c r="BW117" s="1">
        <v>8.0500000000000007</v>
      </c>
      <c r="BX117" s="1">
        <v>0.56100000000000005</v>
      </c>
      <c r="BY117" s="1">
        <v>0.33700000000000002</v>
      </c>
      <c r="BZ117" s="1">
        <v>15</v>
      </c>
      <c r="CA117" s="1">
        <v>298</v>
      </c>
      <c r="CB117" s="1">
        <v>1.48</v>
      </c>
      <c r="CC117" s="1">
        <v>17.8</v>
      </c>
      <c r="CD117" s="1">
        <v>8</v>
      </c>
      <c r="CE117" s="1">
        <v>1</v>
      </c>
      <c r="CF117" s="3">
        <v>42290</v>
      </c>
      <c r="CG117" s="7">
        <f>CF117-AJ117</f>
        <v>46</v>
      </c>
      <c r="CH117" s="1" t="s">
        <v>1369</v>
      </c>
      <c r="CI117" s="17" t="s">
        <v>460</v>
      </c>
      <c r="CJ117" s="1" t="s">
        <v>515</v>
      </c>
      <c r="CK117" s="1" t="s">
        <v>1110</v>
      </c>
      <c r="CL117" s="1" t="s">
        <v>1109</v>
      </c>
      <c r="CM117" s="1">
        <v>0</v>
      </c>
      <c r="CN117" s="12" t="str">
        <f>MID(CK117,4,1)</f>
        <v>3</v>
      </c>
      <c r="CO117" s="1" t="s">
        <v>650</v>
      </c>
      <c r="CP117" s="1">
        <v>2</v>
      </c>
      <c r="CQ117" s="1" t="s">
        <v>1368</v>
      </c>
      <c r="CR117" s="1">
        <v>1.4</v>
      </c>
      <c r="CS117" s="1" t="s">
        <v>1014</v>
      </c>
      <c r="CT117" s="1" t="s">
        <v>511</v>
      </c>
      <c r="CU117" s="1" t="s">
        <v>454</v>
      </c>
      <c r="CV117" s="1">
        <v>0</v>
      </c>
      <c r="CW117" s="1">
        <v>1.6</v>
      </c>
      <c r="CX117" s="1">
        <v>7.3</v>
      </c>
      <c r="CY117" s="1">
        <v>0.2</v>
      </c>
      <c r="CZ117" s="1">
        <v>2</v>
      </c>
      <c r="DA117" s="1">
        <v>27</v>
      </c>
      <c r="DB117" s="2">
        <f>CZ117/DA117*100</f>
        <v>7.4074074074074066</v>
      </c>
      <c r="DC117" s="1">
        <v>0</v>
      </c>
      <c r="DD117" s="1">
        <v>0</v>
      </c>
      <c r="DE117" s="1">
        <v>0</v>
      </c>
      <c r="DF117" s="1">
        <v>0</v>
      </c>
      <c r="DG117" s="26" t="s">
        <v>1367</v>
      </c>
      <c r="DH117" s="7">
        <v>0</v>
      </c>
      <c r="DI117" s="7">
        <v>0</v>
      </c>
      <c r="DJ117" s="3">
        <v>44223</v>
      </c>
      <c r="DK117" s="1" t="s">
        <v>1366</v>
      </c>
      <c r="DL117" s="12">
        <f>(DJ117-I117)/365.25*12</f>
        <v>66.299794661190958</v>
      </c>
      <c r="DM117" s="1">
        <v>0</v>
      </c>
      <c r="DN117" s="1" t="s">
        <v>45</v>
      </c>
      <c r="DO117" s="1" t="s">
        <v>45</v>
      </c>
      <c r="DP117" s="6" t="s">
        <v>45</v>
      </c>
      <c r="DQ117" s="7">
        <v>0</v>
      </c>
      <c r="DR117" s="3" t="s">
        <v>45</v>
      </c>
      <c r="DS117" s="10">
        <f>IF(DQ117=1, (DR117-$I117)/365.25*12, IF(DQ117=0, $DL117, "ERROR"))</f>
        <v>66.299794661190958</v>
      </c>
      <c r="DT117" s="7">
        <v>0</v>
      </c>
      <c r="DU117" s="7">
        <v>0</v>
      </c>
      <c r="DV117" s="7">
        <v>0</v>
      </c>
      <c r="DW117" s="16">
        <f>DU117*(1-DV117)</f>
        <v>0</v>
      </c>
      <c r="DX117" s="16">
        <f>(1-DU117)*DV117</f>
        <v>0</v>
      </c>
      <c r="DY117" s="16">
        <f>DU117*DV117</f>
        <v>0</v>
      </c>
      <c r="DZ117" s="3" t="s">
        <v>45</v>
      </c>
      <c r="EA117" s="10">
        <f>IF(DT117=1, (DZ117-$I117)/365.25*12, IF(DT117=0, $DL117, "ERROR"))</f>
        <v>66.299794661190958</v>
      </c>
      <c r="EB117" s="7">
        <v>0</v>
      </c>
      <c r="EC117" s="7">
        <v>0</v>
      </c>
      <c r="ED117" s="16">
        <f>1-((1-DQ117)*(1-DT117))</f>
        <v>0</v>
      </c>
      <c r="EE117" s="11" t="s">
        <v>45</v>
      </c>
      <c r="EF117" s="1" t="s">
        <v>45</v>
      </c>
      <c r="EG117" s="7" t="s">
        <v>45</v>
      </c>
      <c r="EH117" s="1" t="s">
        <v>45</v>
      </c>
      <c r="EI117" s="1">
        <v>0</v>
      </c>
      <c r="EJ117" s="16">
        <f>(1-DQ117)*DX117*(1-EI117)</f>
        <v>0</v>
      </c>
      <c r="EK117" s="1" t="s">
        <v>45</v>
      </c>
      <c r="EL117" s="10">
        <f>IF(EI117=1, (EK117-$I117)/365.25*12, IF(EI117=0, $DL117, "ERROR"))</f>
        <v>66.299794661190958</v>
      </c>
      <c r="EM117" s="1" t="s">
        <v>45</v>
      </c>
      <c r="EN117" s="1">
        <v>0</v>
      </c>
      <c r="EO117" s="1">
        <v>0</v>
      </c>
      <c r="EP117" s="1">
        <v>0</v>
      </c>
      <c r="EQ117" s="1">
        <v>0</v>
      </c>
      <c r="ER117" s="1">
        <v>0</v>
      </c>
      <c r="ES117" s="1">
        <v>0</v>
      </c>
      <c r="ET117" s="1">
        <v>0</v>
      </c>
      <c r="EU117" s="1">
        <v>0</v>
      </c>
      <c r="EV117" s="1">
        <v>0</v>
      </c>
      <c r="EW117" s="1">
        <f>1-((1-EP117)*(1-ET117)*(1-EU117)*(1-EV117))</f>
        <v>0</v>
      </c>
      <c r="EX117" s="7">
        <v>0</v>
      </c>
      <c r="EY117" s="7">
        <v>0</v>
      </c>
      <c r="EZ117" s="7">
        <v>0</v>
      </c>
      <c r="FA117" s="7">
        <v>0</v>
      </c>
      <c r="FB117" s="1" t="s">
        <v>45</v>
      </c>
      <c r="FC117" s="1">
        <v>0</v>
      </c>
      <c r="FD117" s="1">
        <v>1</v>
      </c>
      <c r="FF117" s="1" t="s">
        <v>45</v>
      </c>
      <c r="FG117" s="3">
        <f>IF(FC117=1, FF117, IF(FD117=1, 44348, DJ117))</f>
        <v>44348</v>
      </c>
      <c r="FH117" s="13">
        <f>(FG117-I117)/365.25*12</f>
        <v>70.406570841889121</v>
      </c>
      <c r="FI117" s="20">
        <f>IF(DM117=1, (DO117-I117)/365.25*12, IF(DM117=0, DL117, "ERROR"))</f>
        <v>66.299794661190958</v>
      </c>
      <c r="FJ117" s="14">
        <f>IF(OR(DM117,FC117), 1, 0)</f>
        <v>0</v>
      </c>
      <c r="FK117" s="11">
        <f>IF(DM117=1,IF(FC117=1,MIN(DO117,FF117),DO117),IF(FC117=1,FF117,DJ117))</f>
        <v>44223</v>
      </c>
      <c r="FL117" s="13">
        <f>(FK117-$I117)/365.25*12</f>
        <v>66.299794661190958</v>
      </c>
      <c r="FM117" s="14">
        <f>IF(OR(ED117,FC117), 1, 0)</f>
        <v>0</v>
      </c>
      <c r="FN117" s="11">
        <f>IF(ED117=1,IF(FC117=1,MIN(EE117,FF117),EE117),IF(FC117=1,FF117,DJ117))</f>
        <v>44223</v>
      </c>
      <c r="FO117" s="13">
        <f>(FN117-$I117)/365.25*12</f>
        <v>66.299794661190958</v>
      </c>
      <c r="FP117" s="14">
        <f>IF(OR(EI117,FC117), 1, 0)</f>
        <v>0</v>
      </c>
      <c r="FQ117" s="11">
        <f>IF(EI117=1,IF(FC117=1,MIN(EK117,FF117),EK117),IF(FC117=1,FF117,DJ117))</f>
        <v>44223</v>
      </c>
      <c r="FR117" s="13">
        <f>(FQ117-$I117)/365.25*12</f>
        <v>66.299794661190958</v>
      </c>
      <c r="FU117" s="1">
        <v>0</v>
      </c>
      <c r="FV117" s="1">
        <v>0</v>
      </c>
      <c r="FW117" s="1">
        <v>1</v>
      </c>
      <c r="FX117" s="1">
        <v>0</v>
      </c>
      <c r="GA117" s="1">
        <v>10</v>
      </c>
      <c r="GB117" s="1">
        <v>0</v>
      </c>
      <c r="GC117" s="1">
        <v>1008.573</v>
      </c>
      <c r="GD117" s="1">
        <v>172.23099999999999</v>
      </c>
      <c r="GE117" s="25">
        <v>10</v>
      </c>
      <c r="GF117" s="25">
        <v>2</v>
      </c>
      <c r="GG117" s="1">
        <v>280.34210000000002</v>
      </c>
      <c r="GH117" s="24">
        <v>139.92259999999999</v>
      </c>
    </row>
    <row r="118" spans="1:190" ht="12.75" customHeight="1">
      <c r="A118" s="1" t="s">
        <v>1010</v>
      </c>
      <c r="B118" s="15" t="s">
        <v>1009</v>
      </c>
      <c r="C118" s="1">
        <v>47181472</v>
      </c>
      <c r="D118" s="1">
        <v>0</v>
      </c>
      <c r="E118" s="1">
        <v>0</v>
      </c>
      <c r="F118" s="1">
        <v>1</v>
      </c>
      <c r="G118" s="12">
        <v>1</v>
      </c>
      <c r="I118" s="3">
        <v>42243</v>
      </c>
      <c r="J118" s="3">
        <v>42221</v>
      </c>
      <c r="K118" s="3">
        <v>23424</v>
      </c>
      <c r="L118" s="5">
        <f>(DAYS360(K118,I118))/365</f>
        <v>50.821917808219176</v>
      </c>
      <c r="M118" s="1" t="s">
        <v>5</v>
      </c>
      <c r="N118" s="1">
        <v>1</v>
      </c>
      <c r="O118" s="1">
        <v>0</v>
      </c>
      <c r="P118" s="1" t="s">
        <v>81</v>
      </c>
      <c r="Q118" s="1">
        <v>2</v>
      </c>
      <c r="R118" s="1" t="s">
        <v>18</v>
      </c>
      <c r="S118" s="1" t="s">
        <v>1008</v>
      </c>
      <c r="T118" s="1" t="s">
        <v>67</v>
      </c>
      <c r="U118" s="1">
        <v>0</v>
      </c>
      <c r="V118" s="1">
        <v>0</v>
      </c>
      <c r="W118" s="1">
        <v>1</v>
      </c>
      <c r="X118" s="1" t="s">
        <v>187</v>
      </c>
      <c r="Y118" s="1">
        <v>3</v>
      </c>
      <c r="Z118" s="1">
        <v>2</v>
      </c>
      <c r="AA118" s="1" t="s">
        <v>116</v>
      </c>
      <c r="AC118" s="1">
        <v>3</v>
      </c>
      <c r="AD118" s="1" t="s">
        <v>1007</v>
      </c>
      <c r="AE118" s="1" t="s">
        <v>114</v>
      </c>
      <c r="AF118" s="1">
        <v>0</v>
      </c>
      <c r="AG118" s="1">
        <v>0</v>
      </c>
      <c r="AH118" s="1">
        <v>0</v>
      </c>
      <c r="AI118" s="3">
        <v>42243</v>
      </c>
      <c r="AJ118" s="3">
        <v>42283</v>
      </c>
      <c r="AK118" s="6" t="s">
        <v>1006</v>
      </c>
      <c r="AM118" s="1">
        <v>0</v>
      </c>
      <c r="AN118" s="1">
        <v>0</v>
      </c>
      <c r="AO118" s="1">
        <v>0</v>
      </c>
      <c r="AP118" s="1">
        <v>0</v>
      </c>
      <c r="AQ118" s="1">
        <v>0</v>
      </c>
      <c r="AR118" s="1">
        <v>0</v>
      </c>
      <c r="AS118" s="12">
        <f>IF(AND(AM118=0,AU118&lt;=2), 1, 0)</f>
        <v>1</v>
      </c>
      <c r="AT118" s="12">
        <v>1</v>
      </c>
      <c r="AU118" s="1">
        <v>2</v>
      </c>
      <c r="AV118" s="1">
        <v>0.5</v>
      </c>
      <c r="AW118" s="1">
        <v>0.5</v>
      </c>
      <c r="AX118" s="6" t="s">
        <v>45</v>
      </c>
      <c r="AY118" s="6" t="s">
        <v>45</v>
      </c>
      <c r="AZ118" s="6" t="s">
        <v>92</v>
      </c>
      <c r="BA118" s="1">
        <f>3.3+6.6+0.3</f>
        <v>10.199999999999999</v>
      </c>
      <c r="BB118" s="1">
        <v>358.2</v>
      </c>
      <c r="BC118" s="1">
        <f>10.5-3.6+0.3</f>
        <v>7.2</v>
      </c>
      <c r="BD118" s="1">
        <f>8.1-6.9+0.3</f>
        <v>1.4999999999999993</v>
      </c>
      <c r="BE118" s="1">
        <v>649.79999999999995</v>
      </c>
      <c r="BG118" s="1">
        <v>45</v>
      </c>
      <c r="BH118" s="1">
        <v>45</v>
      </c>
      <c r="BI118" s="1">
        <v>0</v>
      </c>
      <c r="BJ118" s="1">
        <v>0</v>
      </c>
      <c r="BK118" s="1">
        <f>BH118+BI118</f>
        <v>45</v>
      </c>
      <c r="BL118" s="1">
        <v>25</v>
      </c>
      <c r="BM118" s="1">
        <v>1.8</v>
      </c>
      <c r="BN118" s="1" t="s">
        <v>110</v>
      </c>
      <c r="BO118" s="1">
        <v>0</v>
      </c>
      <c r="BP118" s="1">
        <v>1</v>
      </c>
      <c r="BQ118" s="1">
        <v>1</v>
      </c>
      <c r="BR118" s="3">
        <v>42254</v>
      </c>
      <c r="BS118" s="1" t="s">
        <v>61</v>
      </c>
      <c r="BT118" s="12" t="s">
        <v>60</v>
      </c>
      <c r="BU118" s="1">
        <v>5</v>
      </c>
      <c r="BV118" s="1">
        <v>1</v>
      </c>
      <c r="BW118" s="1">
        <v>6.55</v>
      </c>
      <c r="BX118" s="1">
        <v>0.77700000000000002</v>
      </c>
      <c r="BY118" s="1">
        <v>9.1999999999999998E-2</v>
      </c>
      <c r="BZ118" s="1">
        <v>10.5</v>
      </c>
      <c r="CA118" s="1">
        <v>402</v>
      </c>
      <c r="CB118" s="1">
        <v>1.59</v>
      </c>
      <c r="CC118" s="1">
        <v>24.3</v>
      </c>
      <c r="CD118" s="1">
        <v>5.4</v>
      </c>
      <c r="CE118" s="1">
        <v>1</v>
      </c>
      <c r="CF118" s="3">
        <v>42318</v>
      </c>
      <c r="CG118" s="7">
        <f>CF118-AJ118</f>
        <v>35</v>
      </c>
      <c r="CH118" s="1" t="s">
        <v>1005</v>
      </c>
      <c r="CI118" s="17" t="s">
        <v>460</v>
      </c>
      <c r="CJ118" s="1" t="s">
        <v>182</v>
      </c>
      <c r="CK118" s="1" t="s">
        <v>980</v>
      </c>
      <c r="CL118" s="1" t="s">
        <v>968</v>
      </c>
      <c r="CM118" s="1">
        <v>0</v>
      </c>
      <c r="CN118" s="12" t="str">
        <f>MID(CK118,4,1)</f>
        <v>3</v>
      </c>
      <c r="CO118" s="1" t="s">
        <v>1004</v>
      </c>
      <c r="CP118" s="1">
        <v>1</v>
      </c>
      <c r="CQ118" s="1" t="s">
        <v>1003</v>
      </c>
      <c r="CR118" s="1">
        <v>4.3</v>
      </c>
      <c r="CS118" s="1" t="s">
        <v>1002</v>
      </c>
      <c r="CT118" s="1" t="s">
        <v>473</v>
      </c>
      <c r="CU118" s="1" t="s">
        <v>472</v>
      </c>
      <c r="CV118" s="1">
        <v>0</v>
      </c>
      <c r="CW118" s="1">
        <v>3.2</v>
      </c>
      <c r="CX118" s="1">
        <v>7.3</v>
      </c>
      <c r="CY118" s="1">
        <v>0.1</v>
      </c>
      <c r="CZ118" s="1">
        <v>0</v>
      </c>
      <c r="DA118" s="1">
        <v>51</v>
      </c>
      <c r="DB118" s="2">
        <f>CZ118/DA118*100</f>
        <v>0</v>
      </c>
      <c r="DC118" s="1">
        <v>0</v>
      </c>
      <c r="DD118" s="1">
        <v>0</v>
      </c>
      <c r="DE118" s="1">
        <v>0</v>
      </c>
      <c r="DF118" s="1">
        <v>0</v>
      </c>
      <c r="DG118" s="26" t="s">
        <v>1001</v>
      </c>
      <c r="DH118" s="7">
        <v>0</v>
      </c>
      <c r="DI118" s="7">
        <v>0</v>
      </c>
      <c r="DJ118" s="3">
        <v>44883</v>
      </c>
      <c r="DK118" s="1" t="s">
        <v>75</v>
      </c>
      <c r="DL118" s="1">
        <f>(DJ118-I118)/365.25*12</f>
        <v>86.735112936344962</v>
      </c>
      <c r="DM118" s="1">
        <v>0</v>
      </c>
      <c r="DN118" s="1" t="s">
        <v>45</v>
      </c>
      <c r="DO118" s="1" t="s">
        <v>45</v>
      </c>
      <c r="DP118" s="6" t="s">
        <v>45</v>
      </c>
      <c r="DQ118" s="7">
        <v>0</v>
      </c>
      <c r="DR118" s="3" t="s">
        <v>45</v>
      </c>
      <c r="DS118" s="10">
        <f>IF(DQ118=1, (DR118-$I118)/365.25*12, IF(DQ118=0, $DL118, "ERROR"))</f>
        <v>86.735112936344962</v>
      </c>
      <c r="DT118" s="7">
        <v>0</v>
      </c>
      <c r="DU118" s="7">
        <v>0</v>
      </c>
      <c r="DV118" s="7">
        <v>0</v>
      </c>
      <c r="DW118" s="16">
        <f>DU118*(1-DV118)</f>
        <v>0</v>
      </c>
      <c r="DX118" s="16">
        <f>(1-DU118)*DV118</f>
        <v>0</v>
      </c>
      <c r="DY118" s="16">
        <f>DU118*DV118</f>
        <v>0</v>
      </c>
      <c r="DZ118" s="3" t="s">
        <v>45</v>
      </c>
      <c r="EA118" s="10">
        <f>IF(DT118=1, (DZ118-$I118)/365.25*12, IF(DT118=0, $DL118, "ERROR"))</f>
        <v>86.735112936344962</v>
      </c>
      <c r="EB118" s="7">
        <v>0</v>
      </c>
      <c r="EC118" s="7">
        <v>0</v>
      </c>
      <c r="ED118" s="16">
        <f>1-((1-DQ118)*(1-DT118))</f>
        <v>0</v>
      </c>
      <c r="EE118" s="11" t="s">
        <v>45</v>
      </c>
      <c r="EF118" s="1" t="s">
        <v>45</v>
      </c>
      <c r="EG118" s="7" t="s">
        <v>45</v>
      </c>
      <c r="EH118" s="1" t="s">
        <v>45</v>
      </c>
      <c r="EI118" s="1">
        <v>0</v>
      </c>
      <c r="EJ118" s="16">
        <f>(1-DQ118)*DX118*(1-EI118)</f>
        <v>0</v>
      </c>
      <c r="EK118" s="1" t="s">
        <v>45</v>
      </c>
      <c r="EL118" s="10">
        <f>IF(EI118=1, (EK118-$I118)/365.25*12, IF(EI118=0, $DL118, "ERROR"))</f>
        <v>86.735112936344962</v>
      </c>
      <c r="EM118" s="1" t="s">
        <v>45</v>
      </c>
      <c r="EN118" s="1">
        <v>0</v>
      </c>
      <c r="EO118" s="1">
        <v>0</v>
      </c>
      <c r="EP118" s="1">
        <v>0</v>
      </c>
      <c r="EQ118" s="1">
        <v>0</v>
      </c>
      <c r="ER118" s="1">
        <v>0</v>
      </c>
      <c r="ES118" s="1">
        <v>0</v>
      </c>
      <c r="ET118" s="1">
        <v>0</v>
      </c>
      <c r="EU118" s="1">
        <v>0</v>
      </c>
      <c r="EV118" s="1">
        <v>0</v>
      </c>
      <c r="EW118" s="1">
        <f>1-((1-EP118)*(1-ET118)*(1-EU118)*(1-EV118))</f>
        <v>0</v>
      </c>
      <c r="EX118" s="7">
        <v>0</v>
      </c>
      <c r="EY118" s="7">
        <v>0</v>
      </c>
      <c r="EZ118" s="7">
        <v>0</v>
      </c>
      <c r="FA118" s="7">
        <v>0</v>
      </c>
      <c r="FB118" s="1" t="s">
        <v>45</v>
      </c>
      <c r="FC118" s="1">
        <v>0</v>
      </c>
      <c r="FD118" s="1">
        <v>1</v>
      </c>
      <c r="FF118" s="1" t="s">
        <v>45</v>
      </c>
      <c r="FG118" s="3">
        <f>IF(FC118=1, FF118, IF(FD118=1, 44348, DJ118))</f>
        <v>44348</v>
      </c>
      <c r="FH118" s="13">
        <f>(FG118-I118)/365.25*12</f>
        <v>69.158110882956876</v>
      </c>
      <c r="FI118" s="20">
        <f>IF(DM118=1, (DO118-I118)/365.25*12, IF(DM118=0, DL118, "ERROR"))</f>
        <v>86.735112936344962</v>
      </c>
      <c r="FJ118" s="14">
        <f>IF(OR(DM118,FC118), 1, 0)</f>
        <v>0</v>
      </c>
      <c r="FK118" s="11">
        <f>IF(DM118=1,IF(FC118=1,MIN(DO118,FF118),DO118),IF(FC118=1,FF118,DJ118))</f>
        <v>44883</v>
      </c>
      <c r="FL118" s="13">
        <f>(FK118-$I118)/365.25*12</f>
        <v>86.735112936344962</v>
      </c>
      <c r="FM118" s="14">
        <f>IF(OR(ED118,FC118), 1, 0)</f>
        <v>0</v>
      </c>
      <c r="FN118" s="11">
        <f>IF(ED118=1,IF(FC118=1,MIN(EE118,FF118),EE118),IF(FC118=1,FF118,DJ118))</f>
        <v>44883</v>
      </c>
      <c r="FO118" s="13">
        <f>(FN118-$I118)/365.25*12</f>
        <v>86.735112936344962</v>
      </c>
      <c r="FP118" s="14">
        <f>IF(OR(EI118,FC118), 1, 0)</f>
        <v>0</v>
      </c>
      <c r="FQ118" s="11">
        <f>IF(EI118=1,IF(FC118=1,MIN(EK118,FF118),EK118),IF(FC118=1,FF118,DJ118))</f>
        <v>44883</v>
      </c>
      <c r="FR118" s="13">
        <f>(FQ118-$I118)/365.25*12</f>
        <v>86.735112936344962</v>
      </c>
      <c r="FU118" s="1">
        <v>0</v>
      </c>
      <c r="FV118" s="1">
        <v>0</v>
      </c>
      <c r="FW118" s="1">
        <v>0</v>
      </c>
      <c r="FX118" s="1">
        <v>0</v>
      </c>
      <c r="FY118" s="1" t="s">
        <v>1000</v>
      </c>
      <c r="GA118" s="1">
        <v>40</v>
      </c>
      <c r="GB118" s="1">
        <v>10</v>
      </c>
      <c r="GC118" s="1">
        <v>1491.5601999999999</v>
      </c>
      <c r="GD118" s="1">
        <v>552.27459999999996</v>
      </c>
      <c r="GE118" s="25">
        <v>15</v>
      </c>
      <c r="GF118" s="25">
        <v>15</v>
      </c>
      <c r="GG118" s="1">
        <v>2630.7828</v>
      </c>
      <c r="GH118" s="24">
        <v>1407.4762000000001</v>
      </c>
    </row>
    <row r="119" spans="1:190" ht="12.75" customHeight="1">
      <c r="A119" s="1" t="s">
        <v>1127</v>
      </c>
      <c r="B119" s="15" t="s">
        <v>1126</v>
      </c>
      <c r="C119" s="1">
        <v>47451087</v>
      </c>
      <c r="D119" s="1">
        <v>0</v>
      </c>
      <c r="E119" s="1">
        <v>0</v>
      </c>
      <c r="F119" s="1">
        <v>1</v>
      </c>
      <c r="G119" s="12">
        <v>1</v>
      </c>
      <c r="I119" s="3">
        <v>42712</v>
      </c>
      <c r="J119" s="3">
        <v>42691</v>
      </c>
      <c r="K119" s="3">
        <v>21113</v>
      </c>
      <c r="L119" s="5">
        <f>(DAYS360(K119,I119))/365</f>
        <v>58.323287671232876</v>
      </c>
      <c r="M119" s="1" t="s">
        <v>5</v>
      </c>
      <c r="N119" s="1">
        <v>2</v>
      </c>
      <c r="O119" s="1">
        <v>0</v>
      </c>
      <c r="P119" s="1" t="s">
        <v>69</v>
      </c>
      <c r="Q119" s="1">
        <v>1</v>
      </c>
      <c r="R119" s="1" t="s">
        <v>18</v>
      </c>
      <c r="S119" s="1">
        <v>30</v>
      </c>
      <c r="T119" s="1" t="s">
        <v>80</v>
      </c>
      <c r="U119" s="1">
        <v>0</v>
      </c>
      <c r="V119" s="1">
        <v>1</v>
      </c>
      <c r="W119" s="1">
        <v>0</v>
      </c>
      <c r="X119" s="1" t="s">
        <v>1125</v>
      </c>
      <c r="Y119" s="1">
        <v>4</v>
      </c>
      <c r="Z119" s="1">
        <v>1</v>
      </c>
      <c r="AA119" s="1" t="s">
        <v>280</v>
      </c>
      <c r="AC119" s="1">
        <v>4</v>
      </c>
      <c r="AD119" s="1" t="s">
        <v>1124</v>
      </c>
      <c r="AE119" s="1" t="s">
        <v>114</v>
      </c>
      <c r="AF119" s="1">
        <v>0</v>
      </c>
      <c r="AG119" s="1">
        <v>0</v>
      </c>
      <c r="AH119" s="1">
        <v>0</v>
      </c>
      <c r="AI119" s="3">
        <v>42712</v>
      </c>
      <c r="AJ119" s="3">
        <v>42746</v>
      </c>
      <c r="AK119" s="6" t="s">
        <v>1123</v>
      </c>
      <c r="AL119" s="6" t="s">
        <v>123</v>
      </c>
      <c r="AM119" s="1">
        <v>0</v>
      </c>
      <c r="AN119" s="1">
        <v>0</v>
      </c>
      <c r="AO119" s="1">
        <v>0</v>
      </c>
      <c r="AP119" s="1">
        <v>0</v>
      </c>
      <c r="AQ119" s="1">
        <v>0</v>
      </c>
      <c r="AR119" s="1">
        <v>0</v>
      </c>
      <c r="AS119" s="12">
        <f>IF(AND(AM119=0,AU119&lt;=2), 1, 0)</f>
        <v>0</v>
      </c>
      <c r="AT119" s="12">
        <v>0</v>
      </c>
      <c r="AU119" s="1">
        <v>4</v>
      </c>
      <c r="AV119" s="1">
        <v>1</v>
      </c>
      <c r="AW119" s="1"/>
      <c r="AX119" s="6" t="s">
        <v>45</v>
      </c>
      <c r="AY119" s="6" t="s">
        <v>45</v>
      </c>
      <c r="AZ119" s="1">
        <v>0.6</v>
      </c>
      <c r="BA119" s="1">
        <f>3.6+4.2+0.3</f>
        <v>8.1000000000000014</v>
      </c>
      <c r="BB119" s="1">
        <v>267.5</v>
      </c>
      <c r="BC119" s="1">
        <f>10.2-3.9+0.3</f>
        <v>6.5999999999999988</v>
      </c>
      <c r="BD119" s="1">
        <f>8.1-4.5+0.3</f>
        <v>3.8999999999999995</v>
      </c>
      <c r="BE119" s="1">
        <v>548.4</v>
      </c>
      <c r="BF119" s="1" t="s">
        <v>123</v>
      </c>
      <c r="BG119" s="1">
        <v>45</v>
      </c>
      <c r="BH119" s="1">
        <v>45</v>
      </c>
      <c r="BI119" s="1">
        <v>0</v>
      </c>
      <c r="BJ119" s="1">
        <v>0</v>
      </c>
      <c r="BK119" s="1">
        <f>BH119+BI119</f>
        <v>45</v>
      </c>
      <c r="BL119" s="1">
        <v>25</v>
      </c>
      <c r="BM119" s="1">
        <v>1.8</v>
      </c>
      <c r="BN119" s="1" t="s">
        <v>110</v>
      </c>
      <c r="BO119" s="1">
        <v>0</v>
      </c>
      <c r="BP119" s="1">
        <v>1</v>
      </c>
      <c r="BQ119" s="1">
        <v>1</v>
      </c>
      <c r="BR119" s="3">
        <v>42712</v>
      </c>
      <c r="BS119" s="1" t="s">
        <v>61</v>
      </c>
      <c r="BT119" s="12" t="s">
        <v>60</v>
      </c>
      <c r="BU119" s="1">
        <v>5</v>
      </c>
      <c r="BV119" s="1">
        <v>1</v>
      </c>
      <c r="BW119" s="1">
        <v>6.31</v>
      </c>
      <c r="BX119" s="1">
        <v>0.626</v>
      </c>
      <c r="BY119" s="1">
        <v>0.26800000000000002</v>
      </c>
      <c r="BZ119" s="1">
        <v>15.9</v>
      </c>
      <c r="CA119" s="1">
        <v>290</v>
      </c>
      <c r="CB119" s="1">
        <v>1.62</v>
      </c>
      <c r="CC119" s="1">
        <v>18.899999999999999</v>
      </c>
      <c r="CD119" s="1">
        <v>5.6</v>
      </c>
      <c r="CE119" s="1">
        <v>1</v>
      </c>
      <c r="CF119" s="3">
        <v>42782</v>
      </c>
      <c r="CG119" s="7">
        <f>CF119-AJ119</f>
        <v>36</v>
      </c>
      <c r="CH119" s="1" t="s">
        <v>1122</v>
      </c>
      <c r="CI119" s="12" t="s">
        <v>183</v>
      </c>
      <c r="CJ119" s="17" t="s">
        <v>182</v>
      </c>
      <c r="CK119" s="1" t="s">
        <v>835</v>
      </c>
      <c r="CL119" s="1" t="s">
        <v>753</v>
      </c>
      <c r="CM119" s="1">
        <v>0</v>
      </c>
      <c r="CN119" s="12" t="str">
        <f>MID(CK119,4,1)</f>
        <v>2</v>
      </c>
      <c r="CO119" s="1" t="s">
        <v>1004</v>
      </c>
      <c r="CP119" s="1">
        <v>1</v>
      </c>
      <c r="CQ119" s="1" t="s">
        <v>1121</v>
      </c>
      <c r="CR119" s="1">
        <v>1.9</v>
      </c>
      <c r="CS119" s="1" t="s">
        <v>1014</v>
      </c>
      <c r="CT119" s="1" t="s">
        <v>473</v>
      </c>
      <c r="CU119" s="1" t="s">
        <v>454</v>
      </c>
      <c r="CV119" s="1">
        <v>0</v>
      </c>
      <c r="CW119" s="1">
        <v>4.9000000000000004</v>
      </c>
      <c r="CX119" s="1">
        <v>6.3</v>
      </c>
      <c r="CY119" s="1" t="s">
        <v>45</v>
      </c>
      <c r="CZ119" s="1">
        <v>2</v>
      </c>
      <c r="DA119" s="1">
        <v>42</v>
      </c>
      <c r="DB119" s="2">
        <f>CZ119/DA119*100</f>
        <v>4.7619047619047619</v>
      </c>
      <c r="DC119" s="1">
        <v>0</v>
      </c>
      <c r="DD119" s="1">
        <v>0</v>
      </c>
      <c r="DE119" s="1">
        <v>0</v>
      </c>
      <c r="DF119" s="1">
        <v>0</v>
      </c>
      <c r="DG119" s="26" t="s">
        <v>1120</v>
      </c>
      <c r="DH119" s="7">
        <v>0</v>
      </c>
      <c r="DI119" s="7">
        <v>0</v>
      </c>
      <c r="DJ119" s="3">
        <v>43208</v>
      </c>
      <c r="DK119" s="1" t="s">
        <v>1119</v>
      </c>
      <c r="DL119" s="12">
        <f>(DJ119-I119)/365.25*12</f>
        <v>16.295687885010267</v>
      </c>
      <c r="DM119" s="1">
        <v>1</v>
      </c>
      <c r="DN119" s="1" t="s">
        <v>1118</v>
      </c>
      <c r="DO119" s="3">
        <v>42908</v>
      </c>
      <c r="DP119" s="6" t="s">
        <v>145</v>
      </c>
      <c r="DQ119" s="7">
        <v>0</v>
      </c>
      <c r="DR119" s="3" t="s">
        <v>45</v>
      </c>
      <c r="DS119" s="10">
        <f>IF(DQ119=1, (DR119-$I119)/365.25*12, IF(DQ119=0, $DL119, "ERROR"))</f>
        <v>16.295687885010267</v>
      </c>
      <c r="DT119" s="7">
        <v>1</v>
      </c>
      <c r="DU119" s="7">
        <v>1</v>
      </c>
      <c r="DV119" s="7">
        <v>1</v>
      </c>
      <c r="DW119" s="16">
        <f>DU119*(1-DV119)</f>
        <v>0</v>
      </c>
      <c r="DX119" s="16">
        <f>(1-DU119)*DV119</f>
        <v>0</v>
      </c>
      <c r="DY119" s="16">
        <f>DU119*DV119</f>
        <v>1</v>
      </c>
      <c r="DZ119" s="3">
        <v>43197</v>
      </c>
      <c r="EA119" s="10">
        <f>IF(DT119=1, (DZ119-$I119)/365.25*12, IF(DT119=0, $DL119, "ERROR"))</f>
        <v>15.93429158110883</v>
      </c>
      <c r="EB119" s="7">
        <v>1</v>
      </c>
      <c r="EC119" s="7">
        <v>0</v>
      </c>
      <c r="ED119" s="16">
        <f>1-((1-DQ119)*(1-DT119))</f>
        <v>1</v>
      </c>
      <c r="EE119" s="11">
        <f>MIN(DR119,DZ119)</f>
        <v>43197</v>
      </c>
      <c r="EF119" s="1" t="s">
        <v>132</v>
      </c>
      <c r="EG119" s="7" t="s">
        <v>45</v>
      </c>
      <c r="EH119" s="1" t="s">
        <v>45</v>
      </c>
      <c r="EI119" s="1">
        <v>1</v>
      </c>
      <c r="EJ119" s="16">
        <f>(1-DQ119)*DX119*(1-EI119)</f>
        <v>0</v>
      </c>
      <c r="EK119" s="3">
        <v>42908</v>
      </c>
      <c r="EL119" s="10">
        <f>IF(EI119=1, (EK119-$I119)/365.25*12, IF(EI119=0, $DL119, "ERROR"))</f>
        <v>6.4394250513347018</v>
      </c>
      <c r="EM119" s="1" t="s">
        <v>1117</v>
      </c>
      <c r="EN119" s="7">
        <v>1</v>
      </c>
      <c r="EO119" s="7">
        <v>0</v>
      </c>
      <c r="EP119" s="7">
        <v>1</v>
      </c>
      <c r="EQ119" s="7">
        <v>0</v>
      </c>
      <c r="ER119" s="7">
        <v>0</v>
      </c>
      <c r="ES119" s="7">
        <v>0</v>
      </c>
      <c r="ET119" s="7">
        <v>0</v>
      </c>
      <c r="EU119" s="7">
        <v>0</v>
      </c>
      <c r="EV119" s="7">
        <v>0</v>
      </c>
      <c r="EW119" s="1">
        <f>1-((1-EP119)*(1-ET119)*(1-EU119)*(1-EV119))</f>
        <v>1</v>
      </c>
      <c r="EX119" s="7">
        <v>0</v>
      </c>
      <c r="EY119" s="7">
        <v>0</v>
      </c>
      <c r="EZ119" s="7">
        <v>0</v>
      </c>
      <c r="FA119" s="7">
        <v>0</v>
      </c>
      <c r="FC119" s="1">
        <v>1</v>
      </c>
      <c r="FD119" s="1">
        <v>1</v>
      </c>
      <c r="FF119" s="3">
        <v>43221</v>
      </c>
      <c r="FG119" s="3">
        <f>IF(FC119=1, FF119, IF(FD119=1, 44348, DJ119))</f>
        <v>43221</v>
      </c>
      <c r="FH119" s="13">
        <f>(FG119-I119)/365.25*12</f>
        <v>16.722792607802877</v>
      </c>
      <c r="FI119" s="20">
        <f>IF(DM119=1, (DO119-I119)/365.25*12, IF(DM119=0, DL119, "ERROR"))</f>
        <v>6.4394250513347018</v>
      </c>
      <c r="FJ119" s="14">
        <f>IF(OR(DM119,FC119), 1, 0)</f>
        <v>1</v>
      </c>
      <c r="FK119" s="11">
        <f>IF(DM119=1,IF(FC119=1,MIN(DO119,FF119),DO119),IF(FC119=1,FF119,DJ119))</f>
        <v>42908</v>
      </c>
      <c r="FL119" s="13">
        <f>(FK119-$I119)/365.25*12</f>
        <v>6.4394250513347018</v>
      </c>
      <c r="FM119" s="14">
        <f>IF(OR(ED119,FC119), 1, 0)</f>
        <v>1</v>
      </c>
      <c r="FN119" s="11">
        <f>IF(ED119=1,IF(FC119=1,MIN(EE119,FF119),EE119),IF(FC119=1,FF119,DJ119))</f>
        <v>43197</v>
      </c>
      <c r="FO119" s="13">
        <f>(FN119-$I119)/365.25*12</f>
        <v>15.93429158110883</v>
      </c>
      <c r="FP119" s="14">
        <f>IF(OR(EI119,FC119), 1, 0)</f>
        <v>1</v>
      </c>
      <c r="FQ119" s="11">
        <f>IF(EI119=1,IF(FC119=1,MIN(EK119,FF119),EK119),IF(FC119=1,FF119,DJ119))</f>
        <v>42908</v>
      </c>
      <c r="FR119" s="13">
        <f>(FQ119-$I119)/365.25*12</f>
        <v>6.4394250513347018</v>
      </c>
      <c r="FU119" s="1">
        <v>0</v>
      </c>
      <c r="FV119" s="1">
        <v>0</v>
      </c>
      <c r="FW119" s="1">
        <v>0</v>
      </c>
      <c r="FX119" s="1">
        <v>0</v>
      </c>
      <c r="GA119" s="1">
        <v>2</v>
      </c>
      <c r="GB119" s="1">
        <v>2</v>
      </c>
      <c r="GC119" s="1">
        <v>242.62819999999999</v>
      </c>
      <c r="GD119" s="1">
        <v>45.6248</v>
      </c>
      <c r="GE119" s="25">
        <v>60</v>
      </c>
      <c r="GF119" s="25">
        <v>60</v>
      </c>
      <c r="GG119" s="1">
        <v>3124.6251999999999</v>
      </c>
      <c r="GH119" s="24">
        <v>3032.2251999999999</v>
      </c>
    </row>
    <row r="120" spans="1:190" ht="12.75" customHeight="1">
      <c r="A120" s="1" t="s">
        <v>909</v>
      </c>
      <c r="B120" s="1" t="s">
        <v>908</v>
      </c>
      <c r="C120" s="1">
        <v>47546916</v>
      </c>
      <c r="D120" s="1">
        <v>1</v>
      </c>
      <c r="E120" s="1">
        <v>0</v>
      </c>
      <c r="F120" s="1">
        <v>1</v>
      </c>
      <c r="G120" s="1">
        <v>1</v>
      </c>
      <c r="I120" s="3">
        <v>43937</v>
      </c>
      <c r="J120" s="3">
        <v>43920</v>
      </c>
      <c r="K120" s="3">
        <v>19148</v>
      </c>
      <c r="L120" s="5">
        <f>(DAYS360(K120,I120))/365</f>
        <v>66.939726027397256</v>
      </c>
      <c r="M120" s="1" t="s">
        <v>5</v>
      </c>
      <c r="N120" s="1">
        <v>1</v>
      </c>
      <c r="O120" s="1">
        <v>0</v>
      </c>
      <c r="P120" s="1" t="s">
        <v>69</v>
      </c>
      <c r="Q120" s="1">
        <v>1</v>
      </c>
      <c r="R120" s="1" t="s">
        <v>18</v>
      </c>
      <c r="S120" s="1" t="s">
        <v>907</v>
      </c>
      <c r="T120" s="1" t="s">
        <v>67</v>
      </c>
      <c r="U120" s="1">
        <v>0</v>
      </c>
      <c r="V120" s="1">
        <v>0</v>
      </c>
      <c r="W120" s="1">
        <v>1</v>
      </c>
      <c r="X120" s="1" t="s">
        <v>117</v>
      </c>
      <c r="Y120" s="1">
        <v>3</v>
      </c>
      <c r="Z120" s="1">
        <v>1</v>
      </c>
      <c r="AA120" s="1" t="s">
        <v>116</v>
      </c>
      <c r="AC120" s="1">
        <v>3</v>
      </c>
      <c r="AD120" s="1" t="s">
        <v>906</v>
      </c>
      <c r="AE120" s="1" t="s">
        <v>114</v>
      </c>
      <c r="AF120" s="1">
        <v>0</v>
      </c>
      <c r="AG120" s="1">
        <v>0</v>
      </c>
      <c r="AH120" s="1">
        <v>0</v>
      </c>
      <c r="AI120" s="3">
        <v>43937</v>
      </c>
      <c r="AJ120" s="3">
        <v>43976</v>
      </c>
      <c r="BA120" s="1">
        <v>7</v>
      </c>
      <c r="BG120" s="1">
        <v>45</v>
      </c>
      <c r="BH120" s="1">
        <v>25</v>
      </c>
      <c r="BI120" s="1">
        <v>0</v>
      </c>
      <c r="BJ120" s="1">
        <v>0</v>
      </c>
      <c r="BK120" s="1">
        <v>45</v>
      </c>
      <c r="BL120" s="1">
        <v>25</v>
      </c>
      <c r="BM120" s="1">
        <v>1.8</v>
      </c>
      <c r="BN120" s="1" t="s">
        <v>62</v>
      </c>
      <c r="BO120" s="1">
        <v>1</v>
      </c>
      <c r="BP120" s="1">
        <v>1</v>
      </c>
      <c r="BQ120" s="1">
        <v>1</v>
      </c>
      <c r="BR120" s="3">
        <v>43937</v>
      </c>
      <c r="BS120" s="1" t="s">
        <v>61</v>
      </c>
      <c r="BT120" s="12" t="s">
        <v>60</v>
      </c>
      <c r="BU120" s="1">
        <v>5</v>
      </c>
      <c r="BV120" s="1">
        <v>1</v>
      </c>
      <c r="CE120" s="1">
        <v>1</v>
      </c>
      <c r="CF120" s="3">
        <v>44012</v>
      </c>
      <c r="CG120" s="7">
        <f>CF120-AJ120</f>
        <v>36</v>
      </c>
      <c r="CH120" s="1" t="s">
        <v>905</v>
      </c>
      <c r="CI120" s="1" t="s">
        <v>183</v>
      </c>
      <c r="CJ120" s="1" t="s">
        <v>182</v>
      </c>
      <c r="CK120" s="1" t="s">
        <v>904</v>
      </c>
      <c r="CL120" s="1" t="s">
        <v>96</v>
      </c>
      <c r="CM120" s="1">
        <v>0</v>
      </c>
      <c r="CN120" s="12" t="str">
        <f>MID(CK120,4,1)</f>
        <v>2</v>
      </c>
      <c r="CO120" s="1" t="s">
        <v>903</v>
      </c>
      <c r="CP120" s="1">
        <v>2</v>
      </c>
      <c r="CQ120" s="1" t="s">
        <v>902</v>
      </c>
      <c r="CR120" s="1">
        <v>13.8</v>
      </c>
      <c r="CS120" s="1" t="s">
        <v>742</v>
      </c>
      <c r="CT120" s="1" t="s">
        <v>901</v>
      </c>
      <c r="CU120" s="1" t="s">
        <v>472</v>
      </c>
      <c r="CV120" s="1">
        <v>0</v>
      </c>
      <c r="CW120" s="1">
        <v>2.1</v>
      </c>
      <c r="CX120" s="1">
        <v>9</v>
      </c>
      <c r="CY120" s="1">
        <v>0.25</v>
      </c>
      <c r="CZ120" s="1">
        <v>14</v>
      </c>
      <c r="DA120" s="1">
        <v>98</v>
      </c>
      <c r="DB120" s="2">
        <f>CZ120/DA120*100</f>
        <v>14.285714285714285</v>
      </c>
      <c r="DC120" s="1">
        <v>1</v>
      </c>
      <c r="DD120" s="1">
        <v>0</v>
      </c>
      <c r="DE120" s="1">
        <v>0</v>
      </c>
      <c r="DF120" s="1">
        <v>1</v>
      </c>
      <c r="DG120" s="26" t="s">
        <v>900</v>
      </c>
      <c r="DH120" s="7">
        <v>0</v>
      </c>
      <c r="DI120" s="7">
        <v>1</v>
      </c>
      <c r="DJ120" s="3">
        <v>44253</v>
      </c>
      <c r="DK120" s="1" t="s">
        <v>899</v>
      </c>
      <c r="DL120" s="1">
        <f>(DJ120-I120)/365.25*12</f>
        <v>10.381930184804927</v>
      </c>
      <c r="DM120" s="1">
        <v>1</v>
      </c>
      <c r="DN120" s="1" t="s">
        <v>898</v>
      </c>
      <c r="DO120" s="3">
        <v>44223</v>
      </c>
      <c r="DP120" s="6" t="s">
        <v>133</v>
      </c>
      <c r="DQ120" s="7">
        <v>0</v>
      </c>
      <c r="DT120" s="7">
        <v>0</v>
      </c>
      <c r="DU120" s="7">
        <v>0</v>
      </c>
      <c r="DV120" s="7">
        <v>0</v>
      </c>
      <c r="DW120" s="7">
        <f>DU120*(1-DV120)</f>
        <v>0</v>
      </c>
      <c r="DX120" s="7">
        <f>(1-DU120)*DV120</f>
        <v>0</v>
      </c>
      <c r="DY120" s="7">
        <f>DU120*DV120</f>
        <v>0</v>
      </c>
      <c r="EB120" s="7">
        <v>0</v>
      </c>
      <c r="EC120" s="7">
        <v>0</v>
      </c>
      <c r="ED120" s="7">
        <f>1-((1-DQ120)*(1-DT120))</f>
        <v>0</v>
      </c>
      <c r="EI120" s="1">
        <v>1</v>
      </c>
      <c r="EJ120" s="7">
        <f>(1-DQ120)*DX120*(1-EI120)</f>
        <v>0</v>
      </c>
      <c r="EK120" s="3">
        <v>44223</v>
      </c>
      <c r="EQ120" s="7">
        <v>1</v>
      </c>
      <c r="FC120" s="1">
        <v>0</v>
      </c>
      <c r="FD120" s="1">
        <v>0</v>
      </c>
      <c r="FF120" s="1" t="s">
        <v>45</v>
      </c>
      <c r="FI120" s="20">
        <f>IF(DM120=1, (DO120-I120)/365.25*12, IF(DM120=0, DL120, "ERROR"))</f>
        <v>9.3963039014373706</v>
      </c>
      <c r="GA120" s="1">
        <v>0.5</v>
      </c>
      <c r="GB120" s="1">
        <v>0.5</v>
      </c>
      <c r="GC120" s="1">
        <v>322.45549999999997</v>
      </c>
      <c r="GD120" s="1">
        <v>110.79389999999999</v>
      </c>
      <c r="GE120" s="25">
        <v>30</v>
      </c>
      <c r="GF120" s="25">
        <v>30</v>
      </c>
      <c r="GG120" s="1">
        <v>2127.1907000000001</v>
      </c>
      <c r="GH120" s="24">
        <v>1656.54</v>
      </c>
    </row>
    <row r="121" spans="1:190" ht="12.75" customHeight="1">
      <c r="A121" s="1" t="s">
        <v>1406</v>
      </c>
      <c r="B121" s="15" t="s">
        <v>1405</v>
      </c>
      <c r="C121" s="1">
        <v>47563562</v>
      </c>
      <c r="D121" s="1">
        <v>0</v>
      </c>
      <c r="E121" s="1">
        <v>0</v>
      </c>
      <c r="F121" s="1">
        <v>1</v>
      </c>
      <c r="G121" s="12">
        <v>1</v>
      </c>
      <c r="I121" s="3">
        <v>42355</v>
      </c>
      <c r="J121" s="3">
        <v>42332</v>
      </c>
      <c r="K121" s="3">
        <v>20707</v>
      </c>
      <c r="L121" s="5">
        <f>(DAYS360(K121,I121))/365</f>
        <v>58.460273972602742</v>
      </c>
      <c r="M121" s="9" t="s">
        <v>5</v>
      </c>
      <c r="N121" s="1">
        <v>1</v>
      </c>
      <c r="O121" s="1">
        <v>0</v>
      </c>
      <c r="P121" s="1" t="s">
        <v>161</v>
      </c>
      <c r="Q121" s="1">
        <v>0</v>
      </c>
      <c r="R121" s="1" t="s">
        <v>209</v>
      </c>
      <c r="S121" s="1" t="s">
        <v>1404</v>
      </c>
      <c r="T121" s="1" t="s">
        <v>67</v>
      </c>
      <c r="U121" s="1">
        <v>0</v>
      </c>
      <c r="V121" s="1">
        <v>0</v>
      </c>
      <c r="W121" s="1">
        <v>1</v>
      </c>
      <c r="X121" s="1" t="s">
        <v>296</v>
      </c>
      <c r="Y121" s="1">
        <v>2</v>
      </c>
      <c r="Z121" s="1">
        <v>1</v>
      </c>
      <c r="AA121" s="1" t="s">
        <v>65</v>
      </c>
      <c r="AC121" s="1">
        <v>2</v>
      </c>
      <c r="AD121" s="1" t="s">
        <v>126</v>
      </c>
      <c r="AE121" s="1" t="s">
        <v>125</v>
      </c>
      <c r="AF121" s="1">
        <v>0</v>
      </c>
      <c r="AG121" s="1">
        <v>0</v>
      </c>
      <c r="AH121" s="1">
        <v>0</v>
      </c>
      <c r="AI121" s="3">
        <v>42355</v>
      </c>
      <c r="AJ121" s="3">
        <v>42391</v>
      </c>
      <c r="AK121" s="6" t="s">
        <v>1403</v>
      </c>
      <c r="AL121" s="6" t="s">
        <v>250</v>
      </c>
      <c r="AM121" s="1">
        <v>1</v>
      </c>
      <c r="AN121" s="1">
        <v>1</v>
      </c>
      <c r="AO121" s="1">
        <v>0</v>
      </c>
      <c r="AP121" s="1">
        <v>0</v>
      </c>
      <c r="AQ121" s="1">
        <v>0</v>
      </c>
      <c r="AR121" s="1">
        <v>0</v>
      </c>
      <c r="AS121" s="1">
        <v>0</v>
      </c>
      <c r="AT121" s="1">
        <v>0</v>
      </c>
      <c r="AU121" s="6" t="s">
        <v>261</v>
      </c>
      <c r="AV121" s="1">
        <v>0.5</v>
      </c>
      <c r="AW121" s="1"/>
      <c r="AX121" s="6" t="s">
        <v>45</v>
      </c>
      <c r="AY121" s="6" t="s">
        <v>45</v>
      </c>
      <c r="AZ121" s="1">
        <v>0.7</v>
      </c>
      <c r="BA121" s="1">
        <f>3+3.6+0.3</f>
        <v>6.8999999999999995</v>
      </c>
      <c r="BB121" s="1">
        <v>102.3</v>
      </c>
      <c r="BC121" s="1">
        <f>9.3-3.9+0.3</f>
        <v>5.7</v>
      </c>
      <c r="BD121" s="1">
        <v>2</v>
      </c>
      <c r="BE121" s="1">
        <v>288.89999999999998</v>
      </c>
      <c r="BF121" s="1" t="s">
        <v>260</v>
      </c>
      <c r="BG121" s="1">
        <v>45</v>
      </c>
      <c r="BH121" s="1">
        <v>45</v>
      </c>
      <c r="BI121" s="1">
        <v>0</v>
      </c>
      <c r="BJ121" s="1">
        <v>0</v>
      </c>
      <c r="BK121" s="1">
        <f>BH121+BI121</f>
        <v>45</v>
      </c>
      <c r="BL121" s="1">
        <v>25</v>
      </c>
      <c r="BM121" s="1">
        <v>1.8</v>
      </c>
      <c r="BN121" s="1" t="s">
        <v>110</v>
      </c>
      <c r="BO121" s="1">
        <v>0</v>
      </c>
      <c r="BP121" s="1">
        <v>1</v>
      </c>
      <c r="BQ121" s="1">
        <v>1</v>
      </c>
      <c r="BR121" s="3">
        <v>42355</v>
      </c>
      <c r="BS121" s="1" t="s">
        <v>61</v>
      </c>
      <c r="BT121" s="12" t="s">
        <v>60</v>
      </c>
      <c r="BU121" s="1">
        <v>5</v>
      </c>
      <c r="BV121" s="1">
        <v>1</v>
      </c>
      <c r="BW121" s="1">
        <v>5.76</v>
      </c>
      <c r="BX121" s="1">
        <v>0.46400000000000002</v>
      </c>
      <c r="BY121" s="1">
        <v>0.377</v>
      </c>
      <c r="BZ121" s="1">
        <v>13.9</v>
      </c>
      <c r="CA121" s="1">
        <v>259</v>
      </c>
      <c r="CB121" s="1">
        <v>1.85</v>
      </c>
      <c r="CE121" s="1">
        <v>1</v>
      </c>
      <c r="CF121" s="3">
        <v>42432</v>
      </c>
      <c r="CG121" s="7">
        <f>CF121-AJ121</f>
        <v>41</v>
      </c>
      <c r="CH121" s="1" t="s">
        <v>1395</v>
      </c>
      <c r="CI121" s="17" t="s">
        <v>460</v>
      </c>
      <c r="CJ121" s="1" t="s">
        <v>515</v>
      </c>
      <c r="CK121" s="1" t="s">
        <v>811</v>
      </c>
      <c r="CL121" s="1" t="s">
        <v>45</v>
      </c>
      <c r="CM121" s="1">
        <v>1</v>
      </c>
      <c r="CN121" s="12" t="str">
        <f>MID(CK121,4,1)</f>
        <v>0</v>
      </c>
      <c r="CO121" s="1" t="s">
        <v>1025</v>
      </c>
      <c r="CP121" s="1">
        <v>0</v>
      </c>
      <c r="CQ121" s="1" t="s">
        <v>45</v>
      </c>
      <c r="CR121" s="1">
        <v>0</v>
      </c>
      <c r="CS121" s="1" t="s">
        <v>45</v>
      </c>
      <c r="CT121" s="1" t="s">
        <v>45</v>
      </c>
      <c r="CU121" s="1" t="s">
        <v>45</v>
      </c>
      <c r="CV121" s="1">
        <v>0</v>
      </c>
      <c r="CW121" s="1" t="s">
        <v>45</v>
      </c>
      <c r="CX121" s="1" t="s">
        <v>45</v>
      </c>
      <c r="CY121" s="1" t="s">
        <v>45</v>
      </c>
      <c r="CZ121" s="1">
        <v>0</v>
      </c>
      <c r="DA121" s="1">
        <v>27</v>
      </c>
      <c r="DB121" s="2">
        <f>CZ121/DA121*100</f>
        <v>0</v>
      </c>
      <c r="DC121" s="1">
        <v>0</v>
      </c>
      <c r="DD121" s="1">
        <v>0</v>
      </c>
      <c r="DE121" s="1">
        <v>0</v>
      </c>
      <c r="DF121" s="1" t="s">
        <v>45</v>
      </c>
      <c r="DG121" s="26" t="s">
        <v>1402</v>
      </c>
      <c r="DH121" s="7">
        <v>0</v>
      </c>
      <c r="DI121" s="7">
        <v>0</v>
      </c>
      <c r="DJ121" s="3">
        <v>44692</v>
      </c>
      <c r="DK121" s="1" t="s">
        <v>75</v>
      </c>
      <c r="DL121" s="12">
        <f>(DJ121-I121)/365.25*12</f>
        <v>76.780287474332653</v>
      </c>
      <c r="DM121" s="1">
        <v>0</v>
      </c>
      <c r="DN121" s="1" t="s">
        <v>45</v>
      </c>
      <c r="DO121" s="1" t="s">
        <v>45</v>
      </c>
      <c r="DP121" s="6" t="s">
        <v>45</v>
      </c>
      <c r="DQ121" s="7">
        <v>0</v>
      </c>
      <c r="DR121" s="3" t="s">
        <v>45</v>
      </c>
      <c r="DS121" s="10">
        <f>IF(DQ121=1, (DR121-$I121)/365.25*12, IF(DQ121=0, $DL121, "ERROR"))</f>
        <v>76.780287474332653</v>
      </c>
      <c r="DT121" s="7">
        <v>0</v>
      </c>
      <c r="DU121" s="7">
        <v>0</v>
      </c>
      <c r="DV121" s="7">
        <v>0</v>
      </c>
      <c r="DW121" s="16">
        <f>DU121*(1-DV121)</f>
        <v>0</v>
      </c>
      <c r="DX121" s="16">
        <f>(1-DU121)*DV121</f>
        <v>0</v>
      </c>
      <c r="DY121" s="16">
        <f>DU121*DV121</f>
        <v>0</v>
      </c>
      <c r="DZ121" s="3" t="s">
        <v>45</v>
      </c>
      <c r="EA121" s="10">
        <f>IF(DT121=1, (DZ121-$I121)/365.25*12, IF(DT121=0, $DL121, "ERROR"))</f>
        <v>76.780287474332653</v>
      </c>
      <c r="EB121" s="7">
        <v>0</v>
      </c>
      <c r="EC121" s="7">
        <v>0</v>
      </c>
      <c r="ED121" s="16">
        <f>1-((1-DQ121)*(1-DT121))</f>
        <v>0</v>
      </c>
      <c r="EE121" s="11"/>
      <c r="EF121" s="1" t="s">
        <v>45</v>
      </c>
      <c r="EG121" s="7" t="s">
        <v>45</v>
      </c>
      <c r="EH121" s="1" t="s">
        <v>45</v>
      </c>
      <c r="EI121" s="1">
        <v>0</v>
      </c>
      <c r="EJ121" s="16">
        <f>(1-DQ121)*DX121*(1-EI121)</f>
        <v>0</v>
      </c>
      <c r="EK121" s="1" t="s">
        <v>45</v>
      </c>
      <c r="EL121" s="10">
        <f>IF(EI121=1, (EK121-$I121)/365.25*12, IF(EI121=0, $DL121, "ERROR"))</f>
        <v>76.780287474332653</v>
      </c>
      <c r="EM121" s="1" t="s">
        <v>45</v>
      </c>
      <c r="EN121" s="1">
        <v>0</v>
      </c>
      <c r="EO121" s="1">
        <v>0</v>
      </c>
      <c r="EP121" s="1">
        <v>0</v>
      </c>
      <c r="EQ121" s="1">
        <v>0</v>
      </c>
      <c r="ER121" s="1">
        <v>0</v>
      </c>
      <c r="ES121" s="1">
        <v>0</v>
      </c>
      <c r="ET121" s="1">
        <v>0</v>
      </c>
      <c r="EU121" s="1">
        <v>0</v>
      </c>
      <c r="EV121" s="1">
        <v>0</v>
      </c>
      <c r="EW121" s="1">
        <f>1-((1-EP121)*(1-ET121)*(1-EU121)*(1-EV121))</f>
        <v>0</v>
      </c>
      <c r="EX121" s="7">
        <v>0</v>
      </c>
      <c r="EY121" s="7">
        <v>0</v>
      </c>
      <c r="EZ121" s="7">
        <v>0</v>
      </c>
      <c r="FA121" s="7">
        <v>0</v>
      </c>
      <c r="FB121" s="1" t="s">
        <v>45</v>
      </c>
      <c r="FC121" s="1">
        <v>0</v>
      </c>
      <c r="FD121" s="1">
        <v>1</v>
      </c>
      <c r="FF121" s="1" t="s">
        <v>45</v>
      </c>
      <c r="FG121" s="3">
        <f>IF(FC121=1, FF121, IF(FD121=1, 44348, DJ121))</f>
        <v>44348</v>
      </c>
      <c r="FH121" s="13">
        <f>(FG121-I121)/365.25*12</f>
        <v>65.478439425051334</v>
      </c>
      <c r="FI121" s="20">
        <f>IF(DM121=1, (DO121-I121)/365.25*12, IF(DM121=0, DL121, "ERROR"))</f>
        <v>76.780287474332653</v>
      </c>
      <c r="FJ121" s="14">
        <f>IF(OR(DM121,FC121), 1, 0)</f>
        <v>0</v>
      </c>
      <c r="FK121" s="11">
        <f>IF(DM121=1,IF(FC121=1,MIN(DO121,FF121),DO121),IF(FC121=1,FF121,DJ121))</f>
        <v>44692</v>
      </c>
      <c r="FL121" s="13">
        <f>(FK121-$I121)/365.25*12</f>
        <v>76.780287474332653</v>
      </c>
      <c r="FM121" s="14">
        <f>IF(OR(ED121,FC121), 1, 0)</f>
        <v>0</v>
      </c>
      <c r="FN121" s="11">
        <f>IF(ED121=1,IF(FC121=1,MIN(EE121,FF121),EE121),IF(FC121=1,FF121,DJ121))</f>
        <v>44692</v>
      </c>
      <c r="FO121" s="13">
        <f>(FN121-$I121)/365.25*12</f>
        <v>76.780287474332653</v>
      </c>
      <c r="FP121" s="14">
        <f>IF(OR(EI121,FC121), 1, 0)</f>
        <v>0</v>
      </c>
      <c r="FQ121" s="11">
        <f>IF(EI121=1,IF(FC121=1,MIN(EK121,FF121),EK121),IF(FC121=1,FF121,DJ121))</f>
        <v>44692</v>
      </c>
      <c r="FR121" s="13">
        <f>(FQ121-$I121)/365.25*12</f>
        <v>76.780287474332653</v>
      </c>
      <c r="FS121" s="1" t="s">
        <v>1384</v>
      </c>
      <c r="FT121" s="1" t="s">
        <v>1383</v>
      </c>
      <c r="FU121" s="1">
        <v>0</v>
      </c>
      <c r="FV121" s="1">
        <v>0</v>
      </c>
      <c r="FW121" s="1">
        <v>0</v>
      </c>
      <c r="FX121" s="1">
        <v>0</v>
      </c>
      <c r="GA121" s="1">
        <v>2</v>
      </c>
      <c r="GB121" s="1">
        <v>0</v>
      </c>
      <c r="GC121" s="1">
        <v>1070.7467999999999</v>
      </c>
      <c r="GD121" s="1">
        <v>52.246000000000002</v>
      </c>
      <c r="GE121" s="25">
        <v>0</v>
      </c>
      <c r="GF121" s="25">
        <v>0</v>
      </c>
      <c r="GG121" s="1">
        <v>85.3322</v>
      </c>
      <c r="GH121" s="24">
        <v>48.573900000000002</v>
      </c>
    </row>
    <row r="122" spans="1:190" ht="12.75" customHeight="1">
      <c r="A122" s="1" t="s">
        <v>1401</v>
      </c>
      <c r="B122" s="15" t="s">
        <v>1400</v>
      </c>
      <c r="C122" s="1">
        <v>47630734</v>
      </c>
      <c r="D122" s="1">
        <v>0</v>
      </c>
      <c r="E122" s="1">
        <v>0</v>
      </c>
      <c r="F122" s="1">
        <v>1</v>
      </c>
      <c r="G122" s="12">
        <v>1</v>
      </c>
      <c r="I122" s="3">
        <v>42387</v>
      </c>
      <c r="J122" s="3">
        <v>42360</v>
      </c>
      <c r="K122" s="3">
        <v>21041</v>
      </c>
      <c r="L122" s="5">
        <f>(DAYS360(K122,I122))/365</f>
        <v>57.641095890410959</v>
      </c>
      <c r="M122" s="1" t="s">
        <v>5</v>
      </c>
      <c r="N122" s="1">
        <v>1</v>
      </c>
      <c r="O122" s="1">
        <v>0</v>
      </c>
      <c r="P122" s="1" t="s">
        <v>69</v>
      </c>
      <c r="Q122" s="1">
        <v>1</v>
      </c>
      <c r="R122" s="1" t="s">
        <v>209</v>
      </c>
      <c r="S122" s="1" t="s">
        <v>1399</v>
      </c>
      <c r="T122" s="1" t="s">
        <v>67</v>
      </c>
      <c r="U122" s="1">
        <v>0</v>
      </c>
      <c r="V122" s="1">
        <v>0</v>
      </c>
      <c r="W122" s="1">
        <v>1</v>
      </c>
      <c r="X122" s="1" t="s">
        <v>296</v>
      </c>
      <c r="Y122" s="1">
        <v>2</v>
      </c>
      <c r="Z122" s="1">
        <v>1</v>
      </c>
      <c r="AA122" s="1" t="s">
        <v>116</v>
      </c>
      <c r="AC122" s="1">
        <v>3</v>
      </c>
      <c r="AD122" s="1" t="s">
        <v>1398</v>
      </c>
      <c r="AE122" s="1" t="s">
        <v>148</v>
      </c>
      <c r="AF122" s="1">
        <v>0</v>
      </c>
      <c r="AG122" s="1">
        <v>0</v>
      </c>
      <c r="AH122" s="1">
        <v>0</v>
      </c>
      <c r="AI122" s="3">
        <v>42387</v>
      </c>
      <c r="AJ122" s="3">
        <v>42424</v>
      </c>
      <c r="AK122" s="6" t="s">
        <v>1397</v>
      </c>
      <c r="AL122" s="6" t="s">
        <v>1396</v>
      </c>
      <c r="AM122" s="1">
        <v>1</v>
      </c>
      <c r="AN122" s="1">
        <v>1</v>
      </c>
      <c r="AO122" s="1">
        <v>0</v>
      </c>
      <c r="AP122" s="1">
        <v>0</v>
      </c>
      <c r="AQ122" s="1">
        <v>0</v>
      </c>
      <c r="AR122" s="1">
        <v>0</v>
      </c>
      <c r="AS122" s="1">
        <v>0</v>
      </c>
      <c r="AT122" s="1">
        <v>0</v>
      </c>
      <c r="AU122" s="6" t="s">
        <v>261</v>
      </c>
      <c r="AV122" s="1">
        <v>0.5</v>
      </c>
      <c r="AW122" s="1"/>
      <c r="AX122" s="6" t="s">
        <v>45</v>
      </c>
      <c r="AY122" s="6" t="s">
        <v>45</v>
      </c>
      <c r="AZ122" s="1">
        <v>0.7</v>
      </c>
      <c r="BA122" s="1">
        <f>4.2-0.3+0.3</f>
        <v>4.2</v>
      </c>
      <c r="BB122" s="1">
        <f>51.2+77.4</f>
        <v>128.60000000000002</v>
      </c>
      <c r="BC122" s="1">
        <v>13.8</v>
      </c>
      <c r="BD122" s="1">
        <v>2</v>
      </c>
      <c r="BE122" s="1">
        <v>348.8</v>
      </c>
      <c r="BF122" s="6" t="s">
        <v>1396</v>
      </c>
      <c r="BG122" s="1">
        <v>45</v>
      </c>
      <c r="BH122" s="1">
        <v>45</v>
      </c>
      <c r="BI122" s="1">
        <v>0</v>
      </c>
      <c r="BJ122" s="1">
        <v>0</v>
      </c>
      <c r="BK122" s="1">
        <f>BH122+BI122</f>
        <v>45</v>
      </c>
      <c r="BL122" s="1">
        <v>25</v>
      </c>
      <c r="BM122" s="1">
        <v>1.8</v>
      </c>
      <c r="BN122" s="1" t="s">
        <v>110</v>
      </c>
      <c r="BO122" s="1">
        <v>0</v>
      </c>
      <c r="BP122" s="1">
        <v>1</v>
      </c>
      <c r="BQ122" s="1">
        <v>1</v>
      </c>
      <c r="BR122" s="3">
        <v>42387</v>
      </c>
      <c r="BS122" s="1" t="s">
        <v>61</v>
      </c>
      <c r="BT122" s="12" t="s">
        <v>60</v>
      </c>
      <c r="BU122" s="1">
        <v>5</v>
      </c>
      <c r="BV122" s="1">
        <v>1</v>
      </c>
      <c r="BW122" s="1">
        <v>5.51</v>
      </c>
      <c r="BX122" s="1">
        <v>0.57199999999999995</v>
      </c>
      <c r="BY122" s="1">
        <v>0.252</v>
      </c>
      <c r="BZ122" s="1">
        <v>15.7</v>
      </c>
      <c r="CA122" s="1">
        <v>230</v>
      </c>
      <c r="CB122" s="1">
        <v>1.74</v>
      </c>
      <c r="CC122" s="1">
        <v>5.4</v>
      </c>
      <c r="CD122" s="1">
        <v>6.2</v>
      </c>
      <c r="CE122" s="1">
        <v>1</v>
      </c>
      <c r="CF122" s="3">
        <v>42460</v>
      </c>
      <c r="CG122" s="7">
        <f>CF122-AJ122</f>
        <v>36</v>
      </c>
      <c r="CH122" s="1" t="s">
        <v>1395</v>
      </c>
      <c r="CI122" s="17" t="s">
        <v>460</v>
      </c>
      <c r="CJ122" s="1" t="s">
        <v>515</v>
      </c>
      <c r="CK122" s="1" t="s">
        <v>811</v>
      </c>
      <c r="CL122" s="1" t="s">
        <v>45</v>
      </c>
      <c r="CM122" s="1">
        <v>1</v>
      </c>
      <c r="CN122" s="12" t="str">
        <f>MID(CK122,4,1)</f>
        <v>0</v>
      </c>
      <c r="CO122" s="1" t="s">
        <v>1025</v>
      </c>
      <c r="CP122" s="1">
        <v>0</v>
      </c>
      <c r="CQ122" s="1" t="s">
        <v>45</v>
      </c>
      <c r="CR122" s="1">
        <v>0</v>
      </c>
      <c r="CS122" s="1" t="s">
        <v>45</v>
      </c>
      <c r="CT122" s="1" t="s">
        <v>45</v>
      </c>
      <c r="CU122" s="1" t="s">
        <v>45</v>
      </c>
      <c r="CV122" s="1">
        <v>0</v>
      </c>
      <c r="CW122" s="1" t="s">
        <v>45</v>
      </c>
      <c r="CX122" s="1" t="s">
        <v>45</v>
      </c>
      <c r="CY122" s="1" t="s">
        <v>45</v>
      </c>
      <c r="CZ122" s="1">
        <v>0</v>
      </c>
      <c r="DA122" s="1">
        <v>29</v>
      </c>
      <c r="DB122" s="2">
        <f>CZ122/DA122*100</f>
        <v>0</v>
      </c>
      <c r="DC122" s="1">
        <v>0</v>
      </c>
      <c r="DD122" s="1">
        <v>0</v>
      </c>
      <c r="DE122" s="1">
        <v>0</v>
      </c>
      <c r="DF122" s="1" t="s">
        <v>45</v>
      </c>
      <c r="DG122" s="26" t="s">
        <v>1394</v>
      </c>
      <c r="DH122" s="7">
        <v>0</v>
      </c>
      <c r="DI122" s="7">
        <v>0</v>
      </c>
      <c r="DJ122" s="3">
        <v>44706</v>
      </c>
      <c r="DK122" s="1" t="s">
        <v>75</v>
      </c>
      <c r="DL122" s="12">
        <f>(DJ122-I122)/365.25*12</f>
        <v>76.188911704312119</v>
      </c>
      <c r="DM122" s="1">
        <v>0</v>
      </c>
      <c r="DN122" s="1" t="s">
        <v>45</v>
      </c>
      <c r="DO122" s="1" t="s">
        <v>45</v>
      </c>
      <c r="DP122" s="6" t="s">
        <v>45</v>
      </c>
      <c r="DQ122" s="7">
        <v>0</v>
      </c>
      <c r="DR122" s="3" t="s">
        <v>45</v>
      </c>
      <c r="DS122" s="10">
        <f>IF(DQ122=1, (DR122-$I122)/365.25*12, IF(DQ122=0, $DL122, "ERROR"))</f>
        <v>76.188911704312119</v>
      </c>
      <c r="DT122" s="7">
        <v>0</v>
      </c>
      <c r="DU122" s="7">
        <v>0</v>
      </c>
      <c r="DV122" s="7">
        <v>0</v>
      </c>
      <c r="DW122" s="16">
        <f>DU122*(1-DV122)</f>
        <v>0</v>
      </c>
      <c r="DX122" s="16">
        <f>(1-DU122)*DV122</f>
        <v>0</v>
      </c>
      <c r="DY122" s="16">
        <f>DU122*DV122</f>
        <v>0</v>
      </c>
      <c r="DZ122" s="3" t="s">
        <v>45</v>
      </c>
      <c r="EA122" s="10">
        <f>IF(DT122=1, (DZ122-$I122)/365.25*12, IF(DT122=0, $DL122, "ERROR"))</f>
        <v>76.188911704312119</v>
      </c>
      <c r="EB122" s="7">
        <v>0</v>
      </c>
      <c r="EC122" s="7">
        <v>0</v>
      </c>
      <c r="ED122" s="16">
        <f>1-((1-DQ122)*(1-DT122))</f>
        <v>0</v>
      </c>
      <c r="EE122" s="11"/>
      <c r="EF122" s="1" t="s">
        <v>45</v>
      </c>
      <c r="EG122" s="7" t="s">
        <v>45</v>
      </c>
      <c r="EH122" s="1" t="s">
        <v>45</v>
      </c>
      <c r="EI122" s="1">
        <v>0</v>
      </c>
      <c r="EJ122" s="16">
        <f>(1-DQ122)*DX122*(1-EI122)</f>
        <v>0</v>
      </c>
      <c r="EK122" s="1" t="s">
        <v>45</v>
      </c>
      <c r="EL122" s="10">
        <f>IF(EI122=1, (EK122-$I122)/365.25*12, IF(EI122=0, $DL122, "ERROR"))</f>
        <v>76.188911704312119</v>
      </c>
      <c r="EM122" s="1" t="s">
        <v>45</v>
      </c>
      <c r="EN122" s="1">
        <v>0</v>
      </c>
      <c r="EO122" s="1">
        <v>0</v>
      </c>
      <c r="EP122" s="1">
        <v>0</v>
      </c>
      <c r="EQ122" s="1">
        <v>0</v>
      </c>
      <c r="ER122" s="1">
        <v>0</v>
      </c>
      <c r="ES122" s="1">
        <v>0</v>
      </c>
      <c r="ET122" s="1">
        <v>0</v>
      </c>
      <c r="EU122" s="1">
        <v>0</v>
      </c>
      <c r="EV122" s="1">
        <v>0</v>
      </c>
      <c r="EW122" s="1">
        <f>1-((1-EP122)*(1-ET122)*(1-EU122)*(1-EV122))</f>
        <v>0</v>
      </c>
      <c r="EX122" s="7">
        <v>0</v>
      </c>
      <c r="EY122" s="7">
        <v>0</v>
      </c>
      <c r="EZ122" s="7">
        <v>0</v>
      </c>
      <c r="FA122" s="7">
        <v>0</v>
      </c>
      <c r="FB122" s="1" t="s">
        <v>45</v>
      </c>
      <c r="FC122" s="1">
        <v>0</v>
      </c>
      <c r="FD122" s="1">
        <v>1</v>
      </c>
      <c r="FF122" s="1" t="s">
        <v>45</v>
      </c>
      <c r="FG122" s="3">
        <f>IF(FC122=1, FF122, IF(FD122=1, 44348, DJ122))</f>
        <v>44348</v>
      </c>
      <c r="FH122" s="13">
        <f>(FG122-I122)/365.25*12</f>
        <v>64.427104722792606</v>
      </c>
      <c r="FI122" s="20">
        <f>IF(DM122=1, (DO122-I122)/365.25*12, IF(DM122=0, DL122, "ERROR"))</f>
        <v>76.188911704312119</v>
      </c>
      <c r="FJ122" s="14">
        <f>IF(OR(DM122,FC122), 1, 0)</f>
        <v>0</v>
      </c>
      <c r="FK122" s="11">
        <f>IF(DM122=1,IF(FC122=1,MIN(DO122,FF122),DO122),IF(FC122=1,FF122,DJ122))</f>
        <v>44706</v>
      </c>
      <c r="FL122" s="13">
        <f>(FK122-$I122)/365.25*12</f>
        <v>76.188911704312119</v>
      </c>
      <c r="FM122" s="14">
        <f>IF(OR(ED122,FC122), 1, 0)</f>
        <v>0</v>
      </c>
      <c r="FN122" s="11">
        <f>IF(ED122=1,IF(FC122=1,MIN(EE122,FF122),EE122),IF(FC122=1,FF122,DJ122))</f>
        <v>44706</v>
      </c>
      <c r="FO122" s="13">
        <f>(FN122-$I122)/365.25*12</f>
        <v>76.188911704312119</v>
      </c>
      <c r="FP122" s="14">
        <f>IF(OR(EI122,FC122), 1, 0)</f>
        <v>0</v>
      </c>
      <c r="FQ122" s="11">
        <f>IF(EI122=1,IF(FC122=1,MIN(EK122,FF122),EK122),IF(FC122=1,FF122,DJ122))</f>
        <v>44706</v>
      </c>
      <c r="FR122" s="13">
        <f>(FQ122-$I122)/365.25*12</f>
        <v>76.188911704312119</v>
      </c>
      <c r="FS122" s="1" t="s">
        <v>1393</v>
      </c>
      <c r="FT122" s="1" t="s">
        <v>1383</v>
      </c>
      <c r="FU122" s="1">
        <v>0</v>
      </c>
      <c r="FV122" s="1">
        <v>0</v>
      </c>
      <c r="FW122" s="1">
        <v>0</v>
      </c>
      <c r="FX122" s="1">
        <v>0</v>
      </c>
      <c r="GA122" s="1">
        <v>0</v>
      </c>
      <c r="GB122" s="1">
        <v>0</v>
      </c>
      <c r="GC122" s="1">
        <v>206.1146</v>
      </c>
      <c r="GD122" s="1">
        <v>70.328900000000004</v>
      </c>
      <c r="GE122" s="25">
        <v>0</v>
      </c>
      <c r="GF122" s="25">
        <v>0</v>
      </c>
      <c r="GG122" s="1">
        <v>267.54559999999998</v>
      </c>
      <c r="GH122" s="24">
        <v>226.9941</v>
      </c>
    </row>
    <row r="123" spans="1:190" ht="12.75" customHeight="1">
      <c r="A123" s="1" t="s">
        <v>1382</v>
      </c>
      <c r="B123" s="15" t="s">
        <v>1381</v>
      </c>
      <c r="C123" s="1">
        <v>47652518</v>
      </c>
      <c r="D123" s="1">
        <v>0</v>
      </c>
      <c r="E123" s="1">
        <v>0</v>
      </c>
      <c r="F123" s="1">
        <v>1</v>
      </c>
      <c r="G123" s="12">
        <v>1</v>
      </c>
      <c r="I123" s="3">
        <v>42394</v>
      </c>
      <c r="J123" s="3">
        <v>42377</v>
      </c>
      <c r="K123" s="3">
        <v>23813</v>
      </c>
      <c r="L123" s="5">
        <f>(DAYS360(K123,I123))/365</f>
        <v>50.172602739726024</v>
      </c>
      <c r="M123" s="1" t="s">
        <v>5</v>
      </c>
      <c r="N123" s="1">
        <v>1</v>
      </c>
      <c r="O123" s="1">
        <v>0</v>
      </c>
      <c r="P123" s="1" t="s">
        <v>69</v>
      </c>
      <c r="Q123" s="1">
        <v>1</v>
      </c>
      <c r="R123" s="1" t="s">
        <v>209</v>
      </c>
      <c r="S123" s="1" t="s">
        <v>1380</v>
      </c>
      <c r="T123" s="1" t="s">
        <v>140</v>
      </c>
      <c r="U123" s="1">
        <v>1</v>
      </c>
      <c r="V123" s="1">
        <v>0</v>
      </c>
      <c r="W123" s="1">
        <v>0</v>
      </c>
      <c r="X123" s="1" t="s">
        <v>187</v>
      </c>
      <c r="Y123" s="1">
        <v>3</v>
      </c>
      <c r="Z123" s="1">
        <v>2</v>
      </c>
      <c r="AA123" s="1" t="s">
        <v>96</v>
      </c>
      <c r="AC123" s="1">
        <v>3</v>
      </c>
      <c r="AD123" s="1" t="s">
        <v>1379</v>
      </c>
      <c r="AE123" s="1" t="s">
        <v>94</v>
      </c>
      <c r="AF123" s="1">
        <v>1</v>
      </c>
      <c r="AG123" s="1">
        <v>1</v>
      </c>
      <c r="AH123" s="1">
        <v>1</v>
      </c>
      <c r="AI123" s="3">
        <v>42394</v>
      </c>
      <c r="AJ123" s="3">
        <v>42432</v>
      </c>
      <c r="AK123" s="6" t="s">
        <v>1378</v>
      </c>
      <c r="AL123" s="6" t="s">
        <v>1320</v>
      </c>
      <c r="AM123" s="1">
        <v>1</v>
      </c>
      <c r="AN123" s="1">
        <v>0</v>
      </c>
      <c r="AO123" s="1">
        <v>1</v>
      </c>
      <c r="AP123" s="1">
        <v>0</v>
      </c>
      <c r="AQ123" s="1">
        <v>0</v>
      </c>
      <c r="AR123" s="1">
        <v>0</v>
      </c>
      <c r="AS123" s="12">
        <f>IF(AND(AM123=0,AU123&lt;=2), 1, 0)</f>
        <v>0</v>
      </c>
      <c r="AT123" s="28">
        <v>1</v>
      </c>
      <c r="AU123" s="1">
        <v>2</v>
      </c>
      <c r="AV123" s="1">
        <v>0.5</v>
      </c>
      <c r="AW123" s="1"/>
      <c r="AX123" s="6" t="s">
        <v>45</v>
      </c>
      <c r="AY123" s="6" t="s">
        <v>45</v>
      </c>
      <c r="AZ123" s="1">
        <v>0.7</v>
      </c>
      <c r="BA123" s="1">
        <v>7.5</v>
      </c>
      <c r="BB123" s="1">
        <v>300.89999999999998</v>
      </c>
      <c r="BC123" s="1">
        <v>3.5</v>
      </c>
      <c r="BD123" s="1">
        <v>2</v>
      </c>
      <c r="BE123" s="1">
        <v>502.9</v>
      </c>
      <c r="BF123" s="1" t="s">
        <v>1320</v>
      </c>
      <c r="BG123" s="1">
        <v>45</v>
      </c>
      <c r="BH123" s="1">
        <v>45</v>
      </c>
      <c r="BI123" s="1">
        <v>0</v>
      </c>
      <c r="BJ123" s="1">
        <v>0</v>
      </c>
      <c r="BK123" s="1">
        <f>BH123+BI123</f>
        <v>45</v>
      </c>
      <c r="BL123" s="1">
        <v>25</v>
      </c>
      <c r="BM123" s="1">
        <v>1.8</v>
      </c>
      <c r="BN123" s="1" t="s">
        <v>110</v>
      </c>
      <c r="BO123" s="1">
        <v>0</v>
      </c>
      <c r="BP123" s="1">
        <v>1</v>
      </c>
      <c r="BQ123" s="1">
        <v>1</v>
      </c>
      <c r="BR123" s="3">
        <v>42394</v>
      </c>
      <c r="BS123" s="1" t="s">
        <v>61</v>
      </c>
      <c r="BT123" s="12" t="s">
        <v>60</v>
      </c>
      <c r="BU123" s="1">
        <v>5</v>
      </c>
      <c r="BV123" s="1">
        <v>1</v>
      </c>
      <c r="BW123" s="1">
        <v>8.69</v>
      </c>
      <c r="BX123" s="1">
        <v>0.63200000000000001</v>
      </c>
      <c r="BY123" s="1">
        <v>0.24099999999999999</v>
      </c>
      <c r="BZ123" s="1">
        <v>12.2</v>
      </c>
      <c r="CA123" s="1">
        <v>321</v>
      </c>
      <c r="CB123" s="1">
        <v>1.53</v>
      </c>
      <c r="CC123" s="1">
        <v>26.1</v>
      </c>
      <c r="CE123" s="1">
        <v>1</v>
      </c>
      <c r="CF123" s="3">
        <v>42465</v>
      </c>
      <c r="CG123" s="7">
        <f>CF123-AJ123</f>
        <v>33</v>
      </c>
      <c r="CH123" s="1" t="s">
        <v>1057</v>
      </c>
      <c r="CI123" s="12" t="s">
        <v>183</v>
      </c>
      <c r="CJ123" s="17" t="s">
        <v>182</v>
      </c>
      <c r="CK123" s="1" t="s">
        <v>811</v>
      </c>
      <c r="CL123" s="1">
        <v>0</v>
      </c>
      <c r="CM123" s="1">
        <v>1</v>
      </c>
      <c r="CN123" s="12" t="str">
        <f>MID(CK123,4,1)</f>
        <v>0</v>
      </c>
      <c r="CO123" s="1" t="s">
        <v>1025</v>
      </c>
      <c r="CP123" s="1">
        <v>0</v>
      </c>
      <c r="CQ123" s="1" t="s">
        <v>45</v>
      </c>
      <c r="CR123" s="1">
        <v>0</v>
      </c>
      <c r="CS123" s="1" t="s">
        <v>45</v>
      </c>
      <c r="CT123" s="1" t="s">
        <v>45</v>
      </c>
      <c r="CU123" s="1" t="s">
        <v>45</v>
      </c>
      <c r="CV123" s="1">
        <v>0</v>
      </c>
      <c r="CW123" s="1" t="s">
        <v>45</v>
      </c>
      <c r="CX123" s="1" t="s">
        <v>45</v>
      </c>
      <c r="CY123" s="1" t="s">
        <v>45</v>
      </c>
      <c r="CZ123" s="1">
        <v>0</v>
      </c>
      <c r="DA123" s="1">
        <v>19</v>
      </c>
      <c r="DB123" s="2">
        <f>CZ123/DA123*100</f>
        <v>0</v>
      </c>
      <c r="DC123" s="1">
        <v>0</v>
      </c>
      <c r="DD123" s="1">
        <v>0</v>
      </c>
      <c r="DE123" s="1">
        <v>0</v>
      </c>
      <c r="DF123" s="1">
        <v>0</v>
      </c>
      <c r="DG123" s="26" t="s">
        <v>1377</v>
      </c>
      <c r="DH123" s="7">
        <v>0</v>
      </c>
      <c r="DI123" s="7">
        <v>0</v>
      </c>
      <c r="DJ123" s="3">
        <v>44734</v>
      </c>
      <c r="DK123" s="1" t="s">
        <v>75</v>
      </c>
      <c r="DL123" s="12">
        <f>(DJ123-I123)/365.25*12</f>
        <v>76.878850102669404</v>
      </c>
      <c r="DM123" s="1">
        <v>0</v>
      </c>
      <c r="DN123" s="1" t="s">
        <v>45</v>
      </c>
      <c r="DO123" s="1" t="s">
        <v>45</v>
      </c>
      <c r="DP123" s="6" t="s">
        <v>45</v>
      </c>
      <c r="DQ123" s="7">
        <v>0</v>
      </c>
      <c r="DR123" s="3" t="s">
        <v>45</v>
      </c>
      <c r="DS123" s="10">
        <f>IF(DQ123=1, (DR123-$I123)/365.25*12, IF(DQ123=0, $DL123, "ERROR"))</f>
        <v>76.878850102669404</v>
      </c>
      <c r="DT123" s="7">
        <v>0</v>
      </c>
      <c r="DU123" s="7">
        <v>0</v>
      </c>
      <c r="DV123" s="7">
        <v>0</v>
      </c>
      <c r="DW123" s="16">
        <f>DU123*(1-DV123)</f>
        <v>0</v>
      </c>
      <c r="DX123" s="16">
        <f>(1-DU123)*DV123</f>
        <v>0</v>
      </c>
      <c r="DY123" s="16">
        <f>DU123*DV123</f>
        <v>0</v>
      </c>
      <c r="DZ123" s="3" t="s">
        <v>45</v>
      </c>
      <c r="EA123" s="10">
        <f>IF(DT123=1, (DZ123-$I123)/365.25*12, IF(DT123=0, $DL123, "ERROR"))</f>
        <v>76.878850102669404</v>
      </c>
      <c r="EB123" s="7">
        <v>0</v>
      </c>
      <c r="EC123" s="7">
        <v>0</v>
      </c>
      <c r="ED123" s="16">
        <f>1-((1-DQ123)*(1-DT123))</f>
        <v>0</v>
      </c>
      <c r="EE123" s="11"/>
      <c r="EF123" s="1" t="s">
        <v>45</v>
      </c>
      <c r="EG123" s="7" t="s">
        <v>45</v>
      </c>
      <c r="EH123" s="1" t="s">
        <v>45</v>
      </c>
      <c r="EI123" s="1">
        <v>0</v>
      </c>
      <c r="EJ123" s="16">
        <f>(1-DQ123)*DX123*(1-EI123)</f>
        <v>0</v>
      </c>
      <c r="EK123" s="1" t="s">
        <v>45</v>
      </c>
      <c r="EL123" s="10">
        <f>IF(EI123=1, (EK123-$I123)/365.25*12, IF(EI123=0, $DL123, "ERROR"))</f>
        <v>76.878850102669404</v>
      </c>
      <c r="EM123" s="1" t="s">
        <v>45</v>
      </c>
      <c r="EN123" s="1">
        <v>0</v>
      </c>
      <c r="EO123" s="1">
        <v>0</v>
      </c>
      <c r="EP123" s="1">
        <v>0</v>
      </c>
      <c r="EQ123" s="1">
        <v>0</v>
      </c>
      <c r="ER123" s="1">
        <v>0</v>
      </c>
      <c r="ES123" s="1">
        <v>0</v>
      </c>
      <c r="ET123" s="1">
        <v>0</v>
      </c>
      <c r="EU123" s="1">
        <v>0</v>
      </c>
      <c r="EV123" s="1">
        <v>0</v>
      </c>
      <c r="EW123" s="1">
        <f>1-((1-EP123)*(1-ET123)*(1-EU123)*(1-EV123))</f>
        <v>0</v>
      </c>
      <c r="EX123" s="7">
        <v>0</v>
      </c>
      <c r="EY123" s="7">
        <v>0</v>
      </c>
      <c r="EZ123" s="7">
        <v>0</v>
      </c>
      <c r="FA123" s="7">
        <v>0</v>
      </c>
      <c r="FB123" s="1" t="s">
        <v>45</v>
      </c>
      <c r="FC123" s="1">
        <v>0</v>
      </c>
      <c r="FD123" s="1">
        <v>1</v>
      </c>
      <c r="FF123" s="1" t="s">
        <v>45</v>
      </c>
      <c r="FG123" s="3">
        <f>IF(FC123=1, FF123, IF(FD123=1, 44348, DJ123))</f>
        <v>44348</v>
      </c>
      <c r="FH123" s="13">
        <f>(FG123-I123)/365.25*12</f>
        <v>64.197125256673516</v>
      </c>
      <c r="FI123" s="20">
        <f>IF(DM123=1, (DO123-I123)/365.25*12, IF(DM123=0, DL123, "ERROR"))</f>
        <v>76.878850102669404</v>
      </c>
      <c r="FJ123" s="14">
        <f>IF(OR(DM123,FC123), 1, 0)</f>
        <v>0</v>
      </c>
      <c r="FK123" s="11">
        <f>IF(DM123=1,IF(FC123=1,MIN(DO123,FF123),DO123),IF(FC123=1,FF123,DJ123))</f>
        <v>44734</v>
      </c>
      <c r="FL123" s="13">
        <f>(FK123-$I123)/365.25*12</f>
        <v>76.878850102669404</v>
      </c>
      <c r="FM123" s="14">
        <f>IF(OR(ED123,FC123), 1, 0)</f>
        <v>0</v>
      </c>
      <c r="FN123" s="11">
        <f>IF(ED123=1,IF(FC123=1,MIN(EE123,FF123),EE123),IF(FC123=1,FF123,DJ123))</f>
        <v>44734</v>
      </c>
      <c r="FO123" s="13">
        <f>(FN123-$I123)/365.25*12</f>
        <v>76.878850102669404</v>
      </c>
      <c r="FP123" s="14">
        <f>IF(OR(EI123,FC123), 1, 0)</f>
        <v>0</v>
      </c>
      <c r="FQ123" s="11">
        <f>IF(EI123=1,IF(FC123=1,MIN(EK123,FF123),EK123),IF(FC123=1,FF123,DJ123))</f>
        <v>44734</v>
      </c>
      <c r="FR123" s="13">
        <f>(FQ123-$I123)/365.25*12</f>
        <v>76.878850102669404</v>
      </c>
      <c r="FS123" s="1" t="s">
        <v>1376</v>
      </c>
      <c r="FT123" s="1" t="s">
        <v>1375</v>
      </c>
      <c r="FU123" s="1">
        <v>0</v>
      </c>
      <c r="FV123" s="1">
        <v>0</v>
      </c>
      <c r="FW123" s="1">
        <v>0</v>
      </c>
      <c r="FX123" s="1">
        <v>0</v>
      </c>
      <c r="GA123" s="1">
        <v>5</v>
      </c>
      <c r="GB123" s="1">
        <v>5</v>
      </c>
      <c r="GC123" s="1">
        <v>478.11599999999999</v>
      </c>
      <c r="GD123" s="1">
        <v>55.965800000000002</v>
      </c>
      <c r="GE123" s="25">
        <v>5</v>
      </c>
      <c r="GF123" s="25">
        <v>5</v>
      </c>
      <c r="GG123" s="1">
        <v>297.44540000000001</v>
      </c>
      <c r="GH123" s="24">
        <v>235.39840000000001</v>
      </c>
    </row>
    <row r="124" spans="1:190" ht="12.75" customHeight="1">
      <c r="A124" s="1" t="s">
        <v>1392</v>
      </c>
      <c r="B124" s="15" t="s">
        <v>1391</v>
      </c>
      <c r="C124" s="1">
        <v>47730588</v>
      </c>
      <c r="D124" s="1">
        <v>0</v>
      </c>
      <c r="E124" s="1">
        <v>0</v>
      </c>
      <c r="F124" s="1">
        <v>1</v>
      </c>
      <c r="G124" s="12">
        <v>1</v>
      </c>
      <c r="I124" s="3">
        <v>42394</v>
      </c>
      <c r="J124" s="3">
        <v>42377</v>
      </c>
      <c r="K124" s="3">
        <v>20351</v>
      </c>
      <c r="L124" s="5">
        <f>(DAYS360(K124,I124))/365</f>
        <v>59.523287671232879</v>
      </c>
      <c r="M124" s="1" t="s">
        <v>5</v>
      </c>
      <c r="N124" s="1">
        <v>1</v>
      </c>
      <c r="O124" s="1">
        <v>0</v>
      </c>
      <c r="P124" s="1" t="s">
        <v>45</v>
      </c>
      <c r="R124" s="1" t="s">
        <v>209</v>
      </c>
      <c r="S124" s="1" t="s">
        <v>1390</v>
      </c>
      <c r="T124" s="9" t="s">
        <v>80</v>
      </c>
      <c r="U124" s="9">
        <v>0</v>
      </c>
      <c r="V124" s="9">
        <v>1</v>
      </c>
      <c r="W124" s="9">
        <v>0</v>
      </c>
      <c r="X124" s="1" t="s">
        <v>79</v>
      </c>
      <c r="Y124" s="1">
        <v>3</v>
      </c>
      <c r="Z124" s="1">
        <v>0</v>
      </c>
      <c r="AA124" s="1" t="s">
        <v>65</v>
      </c>
      <c r="AC124" s="1">
        <v>2</v>
      </c>
      <c r="AD124" s="1" t="s">
        <v>64</v>
      </c>
      <c r="AE124" s="1" t="s">
        <v>64</v>
      </c>
      <c r="AF124" s="1">
        <v>0</v>
      </c>
      <c r="AG124" s="1">
        <v>0</v>
      </c>
      <c r="AH124" s="1">
        <v>0</v>
      </c>
      <c r="AI124" s="3">
        <v>42394</v>
      </c>
      <c r="AJ124" s="3">
        <v>42433</v>
      </c>
      <c r="AK124" s="6" t="s">
        <v>1389</v>
      </c>
      <c r="AL124" s="6" t="s">
        <v>123</v>
      </c>
      <c r="AM124" s="1">
        <v>1</v>
      </c>
      <c r="AN124" s="1">
        <v>1</v>
      </c>
      <c r="AO124" s="1">
        <v>0</v>
      </c>
      <c r="AP124" s="1">
        <v>0</v>
      </c>
      <c r="AQ124" s="1">
        <v>0</v>
      </c>
      <c r="AR124" s="1">
        <v>0</v>
      </c>
      <c r="AS124" s="12">
        <f>IF(AND(AM124=0,AU124&lt;=2), 1, 0)</f>
        <v>0</v>
      </c>
      <c r="AT124" s="12">
        <v>0</v>
      </c>
      <c r="AU124" s="1">
        <v>2</v>
      </c>
      <c r="AV124" s="1">
        <v>0.5</v>
      </c>
      <c r="AW124" s="1"/>
      <c r="AX124" s="6" t="s">
        <v>45</v>
      </c>
      <c r="AY124" s="6" t="s">
        <v>45</v>
      </c>
      <c r="AZ124" s="1">
        <v>0.7</v>
      </c>
      <c r="BA124" s="1">
        <v>6</v>
      </c>
      <c r="BB124" s="1">
        <v>258.10000000000002</v>
      </c>
      <c r="BC124" s="1">
        <v>5.5</v>
      </c>
      <c r="BD124" s="1">
        <f>9-5.5+0.5</f>
        <v>4</v>
      </c>
      <c r="BE124" s="1">
        <v>491.6</v>
      </c>
      <c r="BF124" s="1" t="s">
        <v>1335</v>
      </c>
      <c r="BG124" s="1">
        <v>45</v>
      </c>
      <c r="BH124" s="1">
        <v>45</v>
      </c>
      <c r="BI124" s="1">
        <v>0</v>
      </c>
      <c r="BJ124" s="1">
        <v>0</v>
      </c>
      <c r="BK124" s="1">
        <f>BH124+BI124</f>
        <v>45</v>
      </c>
      <c r="BL124" s="1">
        <v>25</v>
      </c>
      <c r="BM124" s="1">
        <v>1.8</v>
      </c>
      <c r="BN124" s="1" t="s">
        <v>110</v>
      </c>
      <c r="BO124" s="1">
        <v>0</v>
      </c>
      <c r="BP124" s="1">
        <v>1</v>
      </c>
      <c r="BQ124" s="1">
        <v>1</v>
      </c>
      <c r="BR124" s="3">
        <v>42394</v>
      </c>
      <c r="BS124" s="1" t="s">
        <v>109</v>
      </c>
      <c r="BT124" s="12" t="s">
        <v>90</v>
      </c>
      <c r="BU124" s="1">
        <v>2</v>
      </c>
      <c r="BV124" s="1">
        <v>1</v>
      </c>
      <c r="BW124" s="1">
        <v>11.57</v>
      </c>
      <c r="BX124" s="1">
        <v>0.66100000000000003</v>
      </c>
      <c r="BY124" s="1">
        <v>0.245</v>
      </c>
      <c r="BZ124" s="1">
        <v>13.5</v>
      </c>
      <c r="CA124" s="1">
        <v>223</v>
      </c>
      <c r="CB124" s="1">
        <v>1.69</v>
      </c>
      <c r="CC124" s="1">
        <v>18.399999999999999</v>
      </c>
      <c r="CD124" s="1">
        <v>5.9</v>
      </c>
      <c r="CE124" s="1">
        <v>1</v>
      </c>
      <c r="CF124" s="3">
        <v>42474</v>
      </c>
      <c r="CG124" s="7">
        <f>CF124-AJ124</f>
        <v>41</v>
      </c>
      <c r="CH124" s="1" t="s">
        <v>1057</v>
      </c>
      <c r="CI124" s="12" t="s">
        <v>183</v>
      </c>
      <c r="CJ124" s="17" t="s">
        <v>182</v>
      </c>
      <c r="CK124" s="1" t="s">
        <v>771</v>
      </c>
      <c r="CL124" s="1" t="s">
        <v>45</v>
      </c>
      <c r="CM124" s="1">
        <v>0</v>
      </c>
      <c r="CN124" s="12" t="str">
        <f>MID(CK124,4,1)</f>
        <v>0</v>
      </c>
      <c r="CO124" s="1" t="s">
        <v>1004</v>
      </c>
      <c r="CP124" s="1">
        <v>1</v>
      </c>
      <c r="CQ124" s="1" t="s">
        <v>45</v>
      </c>
      <c r="CR124" s="1">
        <v>0</v>
      </c>
      <c r="CS124" s="1" t="s">
        <v>45</v>
      </c>
      <c r="CT124" s="1" t="s">
        <v>45</v>
      </c>
      <c r="CU124" s="1" t="s">
        <v>45</v>
      </c>
      <c r="CV124" s="1">
        <v>0</v>
      </c>
      <c r="CW124" s="1" t="s">
        <v>45</v>
      </c>
      <c r="CX124" s="1" t="s">
        <v>45</v>
      </c>
      <c r="CY124" s="1" t="s">
        <v>45</v>
      </c>
      <c r="CZ124" s="1">
        <v>2</v>
      </c>
      <c r="DA124" s="1">
        <v>90</v>
      </c>
      <c r="DB124" s="2">
        <f>CZ124/DA124*100</f>
        <v>2.2222222222222223</v>
      </c>
      <c r="DC124" s="1">
        <v>0</v>
      </c>
      <c r="DD124" s="1">
        <v>0</v>
      </c>
      <c r="DE124" s="1">
        <v>0</v>
      </c>
      <c r="DF124" s="1">
        <v>0</v>
      </c>
      <c r="DG124" s="26" t="s">
        <v>1388</v>
      </c>
      <c r="DH124" s="7">
        <v>0</v>
      </c>
      <c r="DI124" s="7">
        <v>0</v>
      </c>
      <c r="DJ124" s="3">
        <v>43070</v>
      </c>
      <c r="DK124" s="1" t="s">
        <v>1387</v>
      </c>
      <c r="DL124" s="12">
        <f>(DJ124-I124)/365.25*12</f>
        <v>22.209445585215605</v>
      </c>
      <c r="DM124" s="1">
        <v>1</v>
      </c>
      <c r="DN124" s="1" t="s">
        <v>1385</v>
      </c>
      <c r="DO124" s="3">
        <v>42964</v>
      </c>
      <c r="DP124" s="6" t="s">
        <v>133</v>
      </c>
      <c r="DQ124" s="7">
        <v>0</v>
      </c>
      <c r="DR124" s="3" t="s">
        <v>45</v>
      </c>
      <c r="DS124" s="10">
        <f>IF(DQ124=1, (DR124-$I124)/365.25*12, IF(DQ124=0, $DL124, "ERROR"))</f>
        <v>22.209445585215605</v>
      </c>
      <c r="DT124" s="7">
        <v>0</v>
      </c>
      <c r="DU124" s="7">
        <v>0</v>
      </c>
      <c r="DV124" s="7">
        <v>0</v>
      </c>
      <c r="DW124" s="16">
        <f>DU124*(1-DV124)</f>
        <v>0</v>
      </c>
      <c r="DX124" s="16">
        <f>(1-DU124)*DV124</f>
        <v>0</v>
      </c>
      <c r="DY124" s="16">
        <f>DU124*DV124</f>
        <v>0</v>
      </c>
      <c r="DZ124" s="3" t="s">
        <v>45</v>
      </c>
      <c r="EA124" s="10">
        <f>IF(DT124=1, (DZ124-$I124)/365.25*12, IF(DT124=0, $DL124, "ERROR"))</f>
        <v>22.209445585215605</v>
      </c>
      <c r="EB124" s="7">
        <v>0</v>
      </c>
      <c r="EC124" s="7">
        <v>0</v>
      </c>
      <c r="ED124" s="16">
        <f>1-((1-DQ124)*(1-DT124))</f>
        <v>0</v>
      </c>
      <c r="EE124" s="11"/>
      <c r="EF124" s="1" t="s">
        <v>1386</v>
      </c>
      <c r="EG124" s="7" t="s">
        <v>45</v>
      </c>
      <c r="EH124" s="1" t="s">
        <v>45</v>
      </c>
      <c r="EI124" s="1">
        <v>1</v>
      </c>
      <c r="EJ124" s="16">
        <f>(1-DQ124)*DX124*(1-EI124)</f>
        <v>0</v>
      </c>
      <c r="EK124" s="3">
        <v>42964</v>
      </c>
      <c r="EL124" s="10">
        <f>IF(EI124=1, (EK124-$I124)/365.25*12, IF(EI124=0, $DL124, "ERROR"))</f>
        <v>18.726899383983572</v>
      </c>
      <c r="EM124" s="1" t="s">
        <v>1385</v>
      </c>
      <c r="EN124" s="7">
        <v>1</v>
      </c>
      <c r="EO124" s="7">
        <v>0</v>
      </c>
      <c r="EP124" s="7">
        <v>0</v>
      </c>
      <c r="EQ124" s="7">
        <v>1</v>
      </c>
      <c r="ER124" s="7">
        <v>0</v>
      </c>
      <c r="ES124" s="7">
        <v>0</v>
      </c>
      <c r="ET124" s="7">
        <v>0</v>
      </c>
      <c r="EU124" s="7">
        <v>0</v>
      </c>
      <c r="EV124" s="7">
        <v>0</v>
      </c>
      <c r="EW124" s="1">
        <f>1-((1-EP124)*(1-ET124)*(1-EU124)*(1-EV124))</f>
        <v>0</v>
      </c>
      <c r="EX124" s="7">
        <v>0</v>
      </c>
      <c r="EY124" s="7">
        <v>0</v>
      </c>
      <c r="EZ124" s="7">
        <v>0</v>
      </c>
      <c r="FA124" s="7">
        <v>0</v>
      </c>
      <c r="FB124" s="1" t="s">
        <v>45</v>
      </c>
      <c r="FC124" s="1">
        <v>1</v>
      </c>
      <c r="FD124" s="1">
        <v>1</v>
      </c>
      <c r="FF124" s="3">
        <v>43215</v>
      </c>
      <c r="FG124" s="3">
        <f>IF(FC124=1, FF124, IF(FD124=1, 44348, DJ124))</f>
        <v>43215</v>
      </c>
      <c r="FH124" s="13">
        <f>(FG124-I124)/365.25*12</f>
        <v>26.973305954825463</v>
      </c>
      <c r="FI124" s="20">
        <f>IF(DM124=1, (DO124-I124)/365.25*12, IF(DM124=0, DL124, "ERROR"))</f>
        <v>18.726899383983572</v>
      </c>
      <c r="FJ124" s="14">
        <f>IF(OR(DM124,FC124), 1, 0)</f>
        <v>1</v>
      </c>
      <c r="FK124" s="11">
        <f>IF(DM124=1,IF(FC124=1,MIN(DO124,FF124),DO124),IF(FC124=1,FF124,DJ124))</f>
        <v>42964</v>
      </c>
      <c r="FL124" s="13">
        <f>(FK124-$I124)/365.25*12</f>
        <v>18.726899383983572</v>
      </c>
      <c r="FM124" s="14">
        <f>IF(OR(ED124,FC124), 1, 0)</f>
        <v>1</v>
      </c>
      <c r="FN124" s="11">
        <f>IF(ED124=1,IF(FC124=1,MIN(EE124,FF124),EE124),IF(FC124=1,FF124,DJ124))</f>
        <v>43215</v>
      </c>
      <c r="FO124" s="13">
        <f>(FN124-$I124)/365.25*12</f>
        <v>26.973305954825463</v>
      </c>
      <c r="FP124" s="14">
        <f>IF(OR(EI124,FC124), 1, 0)</f>
        <v>1</v>
      </c>
      <c r="FQ124" s="11">
        <f>IF(EI124=1,IF(FC124=1,MIN(EK124,FF124),EK124),IF(FC124=1,FF124,DJ124))</f>
        <v>42964</v>
      </c>
      <c r="FR124" s="13">
        <f>(FQ124-$I124)/365.25*12</f>
        <v>18.726899383983572</v>
      </c>
      <c r="FS124" s="1" t="s">
        <v>1384</v>
      </c>
      <c r="FT124" s="1" t="s">
        <v>1383</v>
      </c>
      <c r="FU124" s="1">
        <v>1</v>
      </c>
      <c r="FV124" s="1">
        <v>1</v>
      </c>
      <c r="FW124" s="1">
        <v>0</v>
      </c>
      <c r="FX124" s="1">
        <v>0</v>
      </c>
      <c r="GA124" s="1">
        <v>10</v>
      </c>
      <c r="GB124" s="1">
        <v>10</v>
      </c>
      <c r="GC124" s="1">
        <v>1057.9190000000001</v>
      </c>
      <c r="GD124" s="1">
        <v>441.43990000000002</v>
      </c>
      <c r="GE124" s="25">
        <v>12</v>
      </c>
      <c r="GF124" s="25">
        <v>10</v>
      </c>
      <c r="GG124" s="1">
        <v>1127.9702</v>
      </c>
      <c r="GH124" s="24">
        <v>859.11479999999995</v>
      </c>
    </row>
    <row r="125" spans="1:190" ht="12.75" customHeight="1">
      <c r="A125" s="1" t="s">
        <v>1166</v>
      </c>
      <c r="B125" s="15" t="s">
        <v>1165</v>
      </c>
      <c r="C125" s="1">
        <v>48158824</v>
      </c>
      <c r="D125" s="1">
        <v>0</v>
      </c>
      <c r="E125" s="1">
        <v>0</v>
      </c>
      <c r="F125" s="1">
        <v>1</v>
      </c>
      <c r="G125" s="12">
        <v>1</v>
      </c>
      <c r="I125" s="3">
        <v>42520</v>
      </c>
      <c r="J125" s="3">
        <v>42503</v>
      </c>
      <c r="K125" s="3">
        <v>19491</v>
      </c>
      <c r="L125" s="5">
        <f>(DAYS360(K125,I125))/365</f>
        <v>62.186301369863017</v>
      </c>
      <c r="M125" s="1" t="s">
        <v>5</v>
      </c>
      <c r="N125" s="1">
        <v>1</v>
      </c>
      <c r="O125" s="1">
        <v>0</v>
      </c>
      <c r="P125" s="1" t="s">
        <v>69</v>
      </c>
      <c r="Q125" s="1">
        <v>1</v>
      </c>
      <c r="R125" s="1" t="s">
        <v>18</v>
      </c>
      <c r="S125" s="1">
        <v>30</v>
      </c>
      <c r="T125" s="1" t="s">
        <v>80</v>
      </c>
      <c r="U125" s="1">
        <v>0</v>
      </c>
      <c r="V125" s="1">
        <v>1</v>
      </c>
      <c r="W125" s="1">
        <v>0</v>
      </c>
      <c r="X125" s="1" t="s">
        <v>296</v>
      </c>
      <c r="Y125" s="1">
        <v>2</v>
      </c>
      <c r="Z125" s="1">
        <v>1</v>
      </c>
      <c r="AA125" s="1" t="s">
        <v>65</v>
      </c>
      <c r="AC125" s="1">
        <v>2</v>
      </c>
      <c r="AD125" s="1" t="s">
        <v>1164</v>
      </c>
      <c r="AE125" s="1" t="s">
        <v>125</v>
      </c>
      <c r="AF125" s="1">
        <v>0</v>
      </c>
      <c r="AG125" s="1">
        <v>0</v>
      </c>
      <c r="AH125" s="1">
        <v>0</v>
      </c>
      <c r="AI125" s="3">
        <v>42520</v>
      </c>
      <c r="AJ125" s="3">
        <v>42555</v>
      </c>
      <c r="AK125" s="6" t="s">
        <v>1163</v>
      </c>
      <c r="AL125" s="6" t="s">
        <v>1162</v>
      </c>
      <c r="AM125" s="1">
        <v>1</v>
      </c>
      <c r="AN125" s="1">
        <v>1</v>
      </c>
      <c r="AO125" s="1">
        <v>0</v>
      </c>
      <c r="AP125" s="1">
        <v>0</v>
      </c>
      <c r="AQ125" s="1">
        <v>0</v>
      </c>
      <c r="AR125" s="1">
        <v>0</v>
      </c>
      <c r="AS125" s="1">
        <v>0</v>
      </c>
      <c r="AT125" s="1">
        <v>0</v>
      </c>
      <c r="AU125" s="6" t="s">
        <v>293</v>
      </c>
      <c r="AV125" s="1">
        <v>0.5</v>
      </c>
      <c r="AW125" s="1"/>
      <c r="AX125" s="6" t="s">
        <v>45</v>
      </c>
      <c r="AY125" s="6" t="s">
        <v>45</v>
      </c>
      <c r="AZ125" s="1">
        <v>0.7</v>
      </c>
      <c r="BA125" s="1">
        <f>1.2+1.5+0.3</f>
        <v>3</v>
      </c>
      <c r="BB125" s="1">
        <v>280.39999999999998</v>
      </c>
      <c r="BC125" s="1">
        <f>6.3-1.5+0.3</f>
        <v>5.0999999999999996</v>
      </c>
      <c r="BD125" s="1">
        <f>10.2-2.7+0.3</f>
        <v>7.7999999999999989</v>
      </c>
      <c r="BE125" s="1">
        <v>489</v>
      </c>
      <c r="BF125" s="6" t="s">
        <v>1162</v>
      </c>
      <c r="BG125" s="1">
        <v>45</v>
      </c>
      <c r="BH125" s="1">
        <v>45</v>
      </c>
      <c r="BI125" s="1">
        <v>0</v>
      </c>
      <c r="BJ125" s="1">
        <v>0</v>
      </c>
      <c r="BK125" s="1">
        <f>BH125+BI125</f>
        <v>45</v>
      </c>
      <c r="BL125" s="1">
        <v>25</v>
      </c>
      <c r="BM125" s="1">
        <v>1.8</v>
      </c>
      <c r="BN125" s="1" t="s">
        <v>110</v>
      </c>
      <c r="BO125" s="1">
        <v>0</v>
      </c>
      <c r="BP125" s="1">
        <v>1</v>
      </c>
      <c r="BQ125" s="1">
        <v>1</v>
      </c>
      <c r="BR125" s="3">
        <v>42520</v>
      </c>
      <c r="BS125" s="1" t="s">
        <v>109</v>
      </c>
      <c r="BT125" s="12" t="s">
        <v>90</v>
      </c>
      <c r="BU125" s="1">
        <v>2</v>
      </c>
      <c r="BV125" s="1">
        <v>1</v>
      </c>
      <c r="BW125" s="1">
        <v>8.2100000000000009</v>
      </c>
      <c r="BX125" s="1">
        <v>0.60199999999999998</v>
      </c>
      <c r="BY125" s="1">
        <v>0.27900000000000003</v>
      </c>
      <c r="BZ125" s="1">
        <v>13.3</v>
      </c>
      <c r="CA125" s="1">
        <v>329</v>
      </c>
      <c r="CB125" s="1">
        <v>1.85</v>
      </c>
      <c r="CC125" s="1">
        <v>27.3</v>
      </c>
      <c r="CE125" s="1">
        <v>1</v>
      </c>
      <c r="CF125" s="3">
        <v>42600</v>
      </c>
      <c r="CG125" s="7">
        <f>CF125-AJ125</f>
        <v>45</v>
      </c>
      <c r="CH125" s="1" t="s">
        <v>1161</v>
      </c>
      <c r="CI125" s="17" t="s">
        <v>460</v>
      </c>
      <c r="CJ125" s="1" t="s">
        <v>515</v>
      </c>
      <c r="CK125" s="1" t="s">
        <v>771</v>
      </c>
      <c r="CL125" s="1" t="s">
        <v>45</v>
      </c>
      <c r="CM125" s="1">
        <v>0</v>
      </c>
      <c r="CN125" s="12" t="str">
        <f>MID(CK125,4,1)</f>
        <v>0</v>
      </c>
      <c r="CO125" s="1" t="s">
        <v>1160</v>
      </c>
      <c r="CP125" s="1">
        <v>0</v>
      </c>
      <c r="CQ125" s="1" t="s">
        <v>45</v>
      </c>
      <c r="CR125" s="1">
        <v>0</v>
      </c>
      <c r="CS125" s="1" t="s">
        <v>45</v>
      </c>
      <c r="CT125" s="1" t="s">
        <v>45</v>
      </c>
      <c r="CU125" s="1" t="s">
        <v>45</v>
      </c>
      <c r="CV125" s="1">
        <v>1</v>
      </c>
      <c r="CW125" s="1">
        <v>1.1000000000000001</v>
      </c>
      <c r="CX125" s="1">
        <v>1.8</v>
      </c>
      <c r="CY125" s="1">
        <v>0</v>
      </c>
      <c r="CZ125" s="1">
        <v>2</v>
      </c>
      <c r="DA125" s="1">
        <v>29</v>
      </c>
      <c r="DB125" s="2">
        <f>CZ125/DA125*100</f>
        <v>6.8965517241379306</v>
      </c>
      <c r="DC125" s="1">
        <v>0</v>
      </c>
      <c r="DD125" s="1">
        <v>0</v>
      </c>
      <c r="DE125" s="1">
        <v>0</v>
      </c>
      <c r="DF125" s="1" t="s">
        <v>45</v>
      </c>
      <c r="DG125" s="26" t="s">
        <v>1159</v>
      </c>
      <c r="DH125" s="7">
        <v>0</v>
      </c>
      <c r="DI125" s="7">
        <v>0</v>
      </c>
      <c r="DJ125" s="3">
        <v>42687</v>
      </c>
      <c r="DK125" s="1" t="s">
        <v>1158</v>
      </c>
      <c r="DL125" s="12">
        <f>(DJ125-I125)/365.25*12</f>
        <v>5.4866529774127315</v>
      </c>
      <c r="DM125" s="1">
        <v>1</v>
      </c>
      <c r="DN125" s="1" t="s">
        <v>1157</v>
      </c>
      <c r="DO125" s="3">
        <v>42624</v>
      </c>
      <c r="DP125" s="6" t="s">
        <v>1098</v>
      </c>
      <c r="DQ125" s="7">
        <v>0</v>
      </c>
      <c r="DR125" s="3" t="s">
        <v>45</v>
      </c>
      <c r="DS125" s="10">
        <f>IF(DQ125=1, (DR125-$I125)/365.25*12, IF(DQ125=0, $DL125, "ERROR"))</f>
        <v>5.4866529774127315</v>
      </c>
      <c r="DT125" s="7">
        <v>1</v>
      </c>
      <c r="DU125" s="7">
        <v>1</v>
      </c>
      <c r="DV125" s="7">
        <v>0</v>
      </c>
      <c r="DW125" s="16">
        <f>DU125*(1-DV125)</f>
        <v>1</v>
      </c>
      <c r="DX125" s="16">
        <f>(1-DU125)*DV125</f>
        <v>0</v>
      </c>
      <c r="DY125" s="16">
        <f>DU125*DV125</f>
        <v>0</v>
      </c>
      <c r="DZ125" s="3">
        <v>42624</v>
      </c>
      <c r="EA125" s="10">
        <f>IF(DT125=1, (DZ125-$I125)/365.25*12, IF(DT125=0, $DL125, "ERROR"))</f>
        <v>3.4168377823408624</v>
      </c>
      <c r="EB125" s="7">
        <v>0</v>
      </c>
      <c r="EC125" s="7">
        <v>1</v>
      </c>
      <c r="ED125" s="16">
        <f>1-((1-DQ125)*(1-DT125))</f>
        <v>1</v>
      </c>
      <c r="EE125" s="11">
        <f>MIN(DR125,DZ125)</f>
        <v>42624</v>
      </c>
      <c r="EF125" s="1" t="s">
        <v>45</v>
      </c>
      <c r="EG125" s="7" t="s">
        <v>45</v>
      </c>
      <c r="EH125" s="1" t="s">
        <v>45</v>
      </c>
      <c r="EI125" s="1">
        <v>1</v>
      </c>
      <c r="EJ125" s="16">
        <f>(1-DQ125)*DX125*(1-EI125)</f>
        <v>0</v>
      </c>
      <c r="EK125" s="3">
        <v>42624</v>
      </c>
      <c r="EL125" s="10">
        <f>IF(EI125=1, (EK125-$I125)/365.25*12, IF(EI125=0, $DL125, "ERROR"))</f>
        <v>3.4168377823408624</v>
      </c>
      <c r="EM125" s="1" t="s">
        <v>1156</v>
      </c>
      <c r="EN125" s="7">
        <v>1</v>
      </c>
      <c r="EO125" s="7">
        <v>0</v>
      </c>
      <c r="EP125" s="7">
        <v>0</v>
      </c>
      <c r="EQ125" s="7">
        <v>1</v>
      </c>
      <c r="ER125" s="7">
        <v>0</v>
      </c>
      <c r="ES125" s="7">
        <v>0</v>
      </c>
      <c r="ET125" s="7">
        <v>0</v>
      </c>
      <c r="EU125" s="7">
        <v>0</v>
      </c>
      <c r="EV125" s="7">
        <v>0</v>
      </c>
      <c r="EW125" s="1">
        <f>1-((1-EP125)*(1-ET125)*(1-EU125)*(1-EV125))</f>
        <v>0</v>
      </c>
      <c r="EX125" s="7">
        <v>0</v>
      </c>
      <c r="EY125" s="7">
        <v>0</v>
      </c>
      <c r="EZ125" s="7">
        <v>0</v>
      </c>
      <c r="FA125" s="7">
        <v>0</v>
      </c>
      <c r="FB125" s="1" t="s">
        <v>45</v>
      </c>
      <c r="FC125" s="1">
        <v>1</v>
      </c>
      <c r="FD125" s="1">
        <v>1</v>
      </c>
      <c r="FF125" s="3">
        <v>42782</v>
      </c>
      <c r="FG125" s="3">
        <f>IF(FC125=1, FF125, IF(FD125=1, 44348, DJ125))</f>
        <v>42782</v>
      </c>
      <c r="FH125" s="13">
        <f>(FG125-I125)/365.25*12</f>
        <v>8.6078028747433262</v>
      </c>
      <c r="FI125" s="20">
        <f>IF(DM125=1, (DO125-I125)/365.25*12, IF(DM125=0, DL125, "ERROR"))</f>
        <v>3.4168377823408624</v>
      </c>
      <c r="FJ125" s="14">
        <f>IF(OR(DM125,FC125), 1, 0)</f>
        <v>1</v>
      </c>
      <c r="FK125" s="11">
        <f>IF(DM125=1,IF(FC125=1,MIN(DO125,FF125),DO125),IF(FC125=1,FF125,DJ125))</f>
        <v>42624</v>
      </c>
      <c r="FL125" s="13">
        <f>(FK125-$I125)/365.25*12</f>
        <v>3.4168377823408624</v>
      </c>
      <c r="FM125" s="14">
        <f>IF(OR(ED125,FC125), 1, 0)</f>
        <v>1</v>
      </c>
      <c r="FN125" s="11">
        <f>IF(ED125=1,IF(FC125=1,MIN(EE125,FF125),EE125),IF(FC125=1,FF125,DJ125))</f>
        <v>42624</v>
      </c>
      <c r="FO125" s="13">
        <f>(FN125-$I125)/365.25*12</f>
        <v>3.4168377823408624</v>
      </c>
      <c r="FP125" s="14">
        <f>IF(OR(EI125,FC125), 1, 0)</f>
        <v>1</v>
      </c>
      <c r="FQ125" s="11">
        <f>IF(EI125=1,IF(FC125=1,MIN(EK125,FF125),EK125),IF(FC125=1,FF125,DJ125))</f>
        <v>42624</v>
      </c>
      <c r="FR125" s="13">
        <f>(FQ125-$I125)/365.25*12</f>
        <v>3.4168377823408624</v>
      </c>
      <c r="FU125" s="1">
        <v>0</v>
      </c>
      <c r="FV125" s="1">
        <v>0</v>
      </c>
      <c r="FW125" s="1">
        <v>0</v>
      </c>
      <c r="FX125" s="1">
        <v>0</v>
      </c>
      <c r="GA125" s="1">
        <v>2</v>
      </c>
      <c r="GB125" s="1">
        <v>2</v>
      </c>
      <c r="GC125" s="1">
        <v>321.73200000000003</v>
      </c>
      <c r="GD125" s="1">
        <v>35.006399999999999</v>
      </c>
      <c r="GE125" s="25">
        <v>5</v>
      </c>
      <c r="GF125" s="25">
        <v>5</v>
      </c>
      <c r="GG125" s="1">
        <v>610.82770000000005</v>
      </c>
      <c r="GH125" s="24">
        <v>397.3972</v>
      </c>
    </row>
    <row r="126" spans="1:190" ht="12.75" customHeight="1">
      <c r="A126" s="1" t="s">
        <v>1176</v>
      </c>
      <c r="B126" s="15" t="s">
        <v>1175</v>
      </c>
      <c r="C126" s="1">
        <v>48166887</v>
      </c>
      <c r="D126" s="1">
        <v>0</v>
      </c>
      <c r="E126" s="1">
        <v>0</v>
      </c>
      <c r="F126" s="1">
        <v>1</v>
      </c>
      <c r="G126" s="12">
        <v>1</v>
      </c>
      <c r="I126" s="3">
        <v>42520</v>
      </c>
      <c r="J126" s="3">
        <v>42503</v>
      </c>
      <c r="K126" s="3">
        <v>21806</v>
      </c>
      <c r="L126" s="5">
        <f>(DAYS360(K126,I126))/365</f>
        <v>55.936986301369863</v>
      </c>
      <c r="M126" s="1" t="s">
        <v>5</v>
      </c>
      <c r="N126" s="1">
        <v>0</v>
      </c>
      <c r="O126" s="1">
        <v>0</v>
      </c>
      <c r="P126" s="1" t="s">
        <v>69</v>
      </c>
      <c r="Q126" s="1">
        <v>1</v>
      </c>
      <c r="R126" s="1" t="s">
        <v>18</v>
      </c>
      <c r="S126" s="1">
        <v>34</v>
      </c>
      <c r="T126" s="1" t="s">
        <v>67</v>
      </c>
      <c r="U126" s="1">
        <v>0</v>
      </c>
      <c r="V126" s="1">
        <v>0</v>
      </c>
      <c r="W126" s="1">
        <v>1</v>
      </c>
      <c r="X126" s="1" t="s">
        <v>296</v>
      </c>
      <c r="Y126" s="1">
        <v>2</v>
      </c>
      <c r="Z126" s="1">
        <v>1</v>
      </c>
      <c r="AA126" s="1" t="s">
        <v>65</v>
      </c>
      <c r="AC126" s="1">
        <v>2</v>
      </c>
      <c r="AD126" s="1" t="s">
        <v>1174</v>
      </c>
      <c r="AE126" s="1" t="s">
        <v>148</v>
      </c>
      <c r="AF126" s="1">
        <v>0</v>
      </c>
      <c r="AG126" s="1">
        <v>0</v>
      </c>
      <c r="AH126" s="1">
        <v>0</v>
      </c>
      <c r="AI126" s="3">
        <v>42520</v>
      </c>
      <c r="AJ126" s="3">
        <v>42555</v>
      </c>
      <c r="AK126" s="6" t="s">
        <v>1173</v>
      </c>
      <c r="AL126" s="6" t="s">
        <v>1162</v>
      </c>
      <c r="AM126" s="1">
        <v>1</v>
      </c>
      <c r="AN126" s="1">
        <v>1</v>
      </c>
      <c r="AO126" s="1">
        <v>0</v>
      </c>
      <c r="AP126" s="1">
        <v>0</v>
      </c>
      <c r="AQ126" s="1">
        <v>0</v>
      </c>
      <c r="AR126" s="1">
        <v>0</v>
      </c>
      <c r="AS126" s="1">
        <v>0</v>
      </c>
      <c r="AT126" s="1">
        <v>0</v>
      </c>
      <c r="AU126" s="6" t="s">
        <v>293</v>
      </c>
      <c r="AV126" s="1">
        <v>0.5</v>
      </c>
      <c r="AW126" s="1"/>
      <c r="AX126" s="6" t="s">
        <v>45</v>
      </c>
      <c r="AY126" s="6" t="s">
        <v>45</v>
      </c>
      <c r="AZ126" s="1">
        <v>0.7</v>
      </c>
      <c r="BA126" s="1">
        <f>8.3-0.5+0.3</f>
        <v>8.1000000000000014</v>
      </c>
      <c r="BB126" s="1">
        <v>237.4</v>
      </c>
      <c r="BC126" s="1">
        <v>5.0999999999999996</v>
      </c>
      <c r="BD126" s="1">
        <v>4</v>
      </c>
      <c r="BE126" s="1">
        <v>499.9</v>
      </c>
      <c r="BF126" s="6" t="s">
        <v>1162</v>
      </c>
      <c r="BG126" s="1">
        <v>45</v>
      </c>
      <c r="BH126" s="1">
        <v>45</v>
      </c>
      <c r="BI126" s="1">
        <v>0</v>
      </c>
      <c r="BJ126" s="1">
        <v>0</v>
      </c>
      <c r="BK126" s="1">
        <f>BH126+BI126</f>
        <v>45</v>
      </c>
      <c r="BL126" s="1">
        <v>25</v>
      </c>
      <c r="BM126" s="1">
        <v>1.8</v>
      </c>
      <c r="BN126" s="1" t="s">
        <v>110</v>
      </c>
      <c r="BO126" s="1">
        <v>0</v>
      </c>
      <c r="BP126" s="1">
        <v>1</v>
      </c>
      <c r="BQ126" s="1">
        <v>1</v>
      </c>
      <c r="BR126" s="3">
        <v>42520</v>
      </c>
      <c r="BS126" s="1" t="s">
        <v>61</v>
      </c>
      <c r="BT126" s="12" t="s">
        <v>60</v>
      </c>
      <c r="BU126" s="1">
        <v>5</v>
      </c>
      <c r="BV126" s="1">
        <v>1</v>
      </c>
      <c r="BW126" s="1">
        <v>10.1</v>
      </c>
      <c r="BX126" s="1">
        <v>0.63800000000000001</v>
      </c>
      <c r="BY126" s="1">
        <v>0.26400000000000001</v>
      </c>
      <c r="BZ126" s="1">
        <v>13.6</v>
      </c>
      <c r="CA126" s="1">
        <v>381</v>
      </c>
      <c r="CB126" s="1">
        <v>1.57</v>
      </c>
      <c r="CC126" s="1">
        <v>18.3</v>
      </c>
      <c r="CD126" s="1">
        <v>3.9</v>
      </c>
      <c r="CE126" s="1">
        <v>1</v>
      </c>
      <c r="CF126" s="3">
        <v>42593</v>
      </c>
      <c r="CG126" s="7">
        <f>CF126-AJ126</f>
        <v>38</v>
      </c>
      <c r="CH126" s="1" t="s">
        <v>1172</v>
      </c>
      <c r="CI126" s="17" t="s">
        <v>460</v>
      </c>
      <c r="CJ126" s="1" t="s">
        <v>515</v>
      </c>
      <c r="CK126" s="1" t="s">
        <v>969</v>
      </c>
      <c r="CL126" s="1" t="s">
        <v>968</v>
      </c>
      <c r="CM126" s="1">
        <v>0</v>
      </c>
      <c r="CN126" s="12" t="str">
        <f>MID(CK126,4,1)</f>
        <v>1</v>
      </c>
      <c r="CO126" s="1" t="s">
        <v>1004</v>
      </c>
      <c r="CP126" s="1">
        <v>1</v>
      </c>
      <c r="CQ126" s="1" t="s">
        <v>1171</v>
      </c>
      <c r="CR126" s="1">
        <v>0.8</v>
      </c>
      <c r="CS126" s="1" t="s">
        <v>1014</v>
      </c>
      <c r="CT126" s="1" t="s">
        <v>473</v>
      </c>
      <c r="CU126" s="1" t="s">
        <v>472</v>
      </c>
      <c r="CV126" s="1">
        <v>0</v>
      </c>
      <c r="CW126" s="1">
        <v>3.4</v>
      </c>
      <c r="CX126" s="1">
        <v>16.899999999999999</v>
      </c>
      <c r="CY126" s="1">
        <v>0.7</v>
      </c>
      <c r="CZ126" s="1">
        <v>1</v>
      </c>
      <c r="DA126" s="1">
        <v>60</v>
      </c>
      <c r="DB126" s="2">
        <f>CZ126/DA126*100</f>
        <v>1.6666666666666667</v>
      </c>
      <c r="DC126" s="1">
        <v>0</v>
      </c>
      <c r="DD126" s="1">
        <v>0</v>
      </c>
      <c r="DE126" s="1">
        <v>0</v>
      </c>
      <c r="DF126" s="1">
        <v>0</v>
      </c>
      <c r="DG126" s="26" t="s">
        <v>1170</v>
      </c>
      <c r="DH126" s="7">
        <v>0</v>
      </c>
      <c r="DI126" s="7">
        <v>1</v>
      </c>
      <c r="DJ126" s="3">
        <v>43201</v>
      </c>
      <c r="DK126" s="1" t="s">
        <v>88</v>
      </c>
      <c r="DL126" s="12">
        <f>(DJ126-I126)/365.25*12</f>
        <v>22.373716632443532</v>
      </c>
      <c r="DM126" s="1">
        <v>1</v>
      </c>
      <c r="DN126" s="1" t="s">
        <v>1167</v>
      </c>
      <c r="DO126" s="3">
        <v>42745</v>
      </c>
      <c r="DP126" s="6" t="s">
        <v>133</v>
      </c>
      <c r="DQ126" s="7">
        <v>0</v>
      </c>
      <c r="DR126" s="3" t="s">
        <v>45</v>
      </c>
      <c r="DS126" s="10">
        <f>IF(DQ126=1, (DR126-$I126)/365.25*12, IF(DQ126=0, $DL126, "ERROR"))</f>
        <v>22.373716632443532</v>
      </c>
      <c r="DT126" s="7">
        <v>0</v>
      </c>
      <c r="DU126" s="7">
        <v>0</v>
      </c>
      <c r="DV126" s="7">
        <v>0</v>
      </c>
      <c r="DW126" s="16">
        <f>DU126*(1-DV126)</f>
        <v>0</v>
      </c>
      <c r="DX126" s="16">
        <f>(1-DU126)*DV126</f>
        <v>0</v>
      </c>
      <c r="DY126" s="16">
        <f>DU126*DV126</f>
        <v>0</v>
      </c>
      <c r="DZ126" s="3" t="s">
        <v>45</v>
      </c>
      <c r="EA126" s="10">
        <f>IF(DT126=1, (DZ126-$I126)/365.25*12, IF(DT126=0, $DL126, "ERROR"))</f>
        <v>22.373716632443532</v>
      </c>
      <c r="EB126" s="7">
        <v>0</v>
      </c>
      <c r="EC126" s="7">
        <v>0</v>
      </c>
      <c r="ED126" s="16">
        <f>1-((1-DQ126)*(1-DT126))</f>
        <v>0</v>
      </c>
      <c r="EE126" s="11" t="s">
        <v>45</v>
      </c>
      <c r="EF126" s="1" t="s">
        <v>1169</v>
      </c>
      <c r="EG126" s="7" t="s">
        <v>49</v>
      </c>
      <c r="EH126" s="1" t="s">
        <v>1168</v>
      </c>
      <c r="EI126" s="1">
        <v>1</v>
      </c>
      <c r="EJ126" s="16">
        <f>(1-DQ126)*DX126*(1-EI126)</f>
        <v>0</v>
      </c>
      <c r="EK126" s="3">
        <v>42745</v>
      </c>
      <c r="EL126" s="10">
        <f>IF(EI126=1, (EK126-$I126)/365.25*12, IF(EI126=0, $DL126, "ERROR"))</f>
        <v>7.3921971252566738</v>
      </c>
      <c r="EM126" s="1" t="s">
        <v>1167</v>
      </c>
      <c r="EN126" s="7">
        <v>1</v>
      </c>
      <c r="EO126" s="7">
        <v>0</v>
      </c>
      <c r="EP126" s="7">
        <v>0</v>
      </c>
      <c r="EQ126" s="7">
        <v>0</v>
      </c>
      <c r="ER126" s="7">
        <v>0</v>
      </c>
      <c r="ES126" s="7">
        <v>1</v>
      </c>
      <c r="ET126" s="7">
        <v>0</v>
      </c>
      <c r="EU126" s="7">
        <v>0</v>
      </c>
      <c r="EV126" s="7">
        <v>0</v>
      </c>
      <c r="EW126" s="1">
        <f>1-((1-EP126)*(1-ET126)*(1-EU126)*(1-EV126))</f>
        <v>0</v>
      </c>
      <c r="EX126" s="7">
        <v>0</v>
      </c>
      <c r="EY126" s="7">
        <v>0</v>
      </c>
      <c r="EZ126" s="7">
        <v>1</v>
      </c>
      <c r="FA126" s="7">
        <v>0</v>
      </c>
      <c r="FB126" s="1" t="s">
        <v>45</v>
      </c>
      <c r="FC126" s="1">
        <v>1</v>
      </c>
      <c r="FD126" s="1">
        <v>1</v>
      </c>
      <c r="FF126" s="3">
        <v>43320</v>
      </c>
      <c r="FG126" s="3">
        <f>IF(FC126=1, FF126, IF(FD126=1, 44348, DJ126))</f>
        <v>43320</v>
      </c>
      <c r="FH126" s="13">
        <f>(FG126-I126)/365.25*12</f>
        <v>26.283367556468171</v>
      </c>
      <c r="FI126" s="20">
        <f>IF(DM126=1, (DO126-I126)/365.25*12, IF(DM126=0, DL126, "ERROR"))</f>
        <v>7.3921971252566738</v>
      </c>
      <c r="FJ126" s="14">
        <f>IF(OR(DM126,FC126), 1, 0)</f>
        <v>1</v>
      </c>
      <c r="FK126" s="11">
        <f>IF(DM126=1,IF(FC126=1,MIN(DO126,FF126),DO126),IF(FC126=1,FF126,DJ126))</f>
        <v>42745</v>
      </c>
      <c r="FL126" s="13">
        <f>(FK126-$I126)/365.25*12</f>
        <v>7.3921971252566738</v>
      </c>
      <c r="FM126" s="14">
        <f>IF(OR(ED126,FC126), 1, 0)</f>
        <v>1</v>
      </c>
      <c r="FN126" s="11">
        <f>IF(ED126=1,IF(FC126=1,MIN(EE126,FF126),EE126),IF(FC126=1,FF126,DJ126))</f>
        <v>43320</v>
      </c>
      <c r="FO126" s="13">
        <f>(FN126-$I126)/365.25*12</f>
        <v>26.283367556468171</v>
      </c>
      <c r="FP126" s="14">
        <f>IF(OR(EI126,FC126), 1, 0)</f>
        <v>1</v>
      </c>
      <c r="FQ126" s="11">
        <f>IF(EI126=1,IF(FC126=1,MIN(EK126,FF126),EK126),IF(FC126=1,FF126,DJ126))</f>
        <v>42745</v>
      </c>
      <c r="FR126" s="13">
        <f>(FQ126-$I126)/365.25*12</f>
        <v>7.3921971252566738</v>
      </c>
      <c r="FU126" s="1">
        <v>0</v>
      </c>
      <c r="FV126" s="1">
        <v>0</v>
      </c>
      <c r="FW126" s="1">
        <v>0</v>
      </c>
      <c r="FX126" s="1">
        <v>0</v>
      </c>
      <c r="GA126" s="1">
        <v>10</v>
      </c>
      <c r="GB126" s="1">
        <v>10</v>
      </c>
      <c r="GC126" s="1">
        <v>495.65890000000002</v>
      </c>
      <c r="GD126" s="1">
        <v>121.8186</v>
      </c>
      <c r="GE126" s="25">
        <v>8</v>
      </c>
      <c r="GF126" s="25">
        <v>5</v>
      </c>
      <c r="GG126" s="1">
        <v>858.05470000000003</v>
      </c>
      <c r="GH126" s="24">
        <v>545.68349999999998</v>
      </c>
    </row>
    <row r="127" spans="1:190" ht="12.75" customHeight="1">
      <c r="A127" s="1" t="s">
        <v>1068</v>
      </c>
      <c r="B127" s="15" t="s">
        <v>1067</v>
      </c>
      <c r="C127" s="1">
        <v>48168511</v>
      </c>
      <c r="D127" s="1">
        <v>0</v>
      </c>
      <c r="E127" s="1">
        <v>0</v>
      </c>
      <c r="F127" s="1">
        <v>1</v>
      </c>
      <c r="G127" s="12">
        <v>1</v>
      </c>
      <c r="I127" s="3">
        <v>42884</v>
      </c>
      <c r="J127" s="3">
        <v>42865</v>
      </c>
      <c r="K127" s="3">
        <v>19162</v>
      </c>
      <c r="L127" s="5">
        <f>(DAYS360(K127,I127))/365</f>
        <v>64.060273972602744</v>
      </c>
      <c r="M127" s="1" t="s">
        <v>5</v>
      </c>
      <c r="N127" s="1">
        <v>0</v>
      </c>
      <c r="O127" s="1">
        <v>0</v>
      </c>
      <c r="P127" s="1" t="s">
        <v>161</v>
      </c>
      <c r="Q127" s="1">
        <v>0</v>
      </c>
      <c r="R127" s="1" t="s">
        <v>18</v>
      </c>
      <c r="S127" s="1" t="s">
        <v>1066</v>
      </c>
      <c r="T127" s="1" t="s">
        <v>67</v>
      </c>
      <c r="U127" s="1">
        <v>0</v>
      </c>
      <c r="V127" s="1">
        <v>0</v>
      </c>
      <c r="W127" s="1">
        <v>1</v>
      </c>
      <c r="X127" s="1" t="s">
        <v>117</v>
      </c>
      <c r="Y127" s="1">
        <v>3</v>
      </c>
      <c r="Z127" s="1">
        <v>1</v>
      </c>
      <c r="AA127" s="1" t="s">
        <v>116</v>
      </c>
      <c r="AC127" s="1">
        <v>3</v>
      </c>
      <c r="AD127" s="1" t="s">
        <v>126</v>
      </c>
      <c r="AE127" s="1" t="s">
        <v>125</v>
      </c>
      <c r="AF127" s="1">
        <v>0</v>
      </c>
      <c r="AG127" s="1">
        <v>0</v>
      </c>
      <c r="AH127" s="1">
        <v>0</v>
      </c>
      <c r="AI127" s="3">
        <v>42884</v>
      </c>
      <c r="AJ127" s="3">
        <v>42920</v>
      </c>
      <c r="AK127" s="6" t="s">
        <v>1065</v>
      </c>
      <c r="AL127" s="6" t="s">
        <v>250</v>
      </c>
      <c r="AM127" s="1">
        <v>0</v>
      </c>
      <c r="AN127" s="1">
        <v>0</v>
      </c>
      <c r="AO127" s="1">
        <v>0</v>
      </c>
      <c r="AP127" s="1">
        <v>0</v>
      </c>
      <c r="AQ127" s="1">
        <v>0</v>
      </c>
      <c r="AR127" s="1">
        <v>0</v>
      </c>
      <c r="AS127" s="12">
        <f>IF(AND(AM127=0,AU127&lt;=2), 1, 0)</f>
        <v>0</v>
      </c>
      <c r="AT127" s="12">
        <v>0</v>
      </c>
      <c r="AU127" s="1">
        <v>3</v>
      </c>
      <c r="AV127" s="1">
        <v>1</v>
      </c>
      <c r="AW127" s="1"/>
      <c r="AX127" s="6" t="s">
        <v>45</v>
      </c>
      <c r="AY127" s="6" t="s">
        <v>45</v>
      </c>
      <c r="AZ127" s="1">
        <v>0.6</v>
      </c>
      <c r="BA127" s="1">
        <f>4.5+3+0.3</f>
        <v>7.8</v>
      </c>
      <c r="BB127" s="1">
        <v>201.5</v>
      </c>
      <c r="BC127" s="1">
        <v>3.3</v>
      </c>
      <c r="BD127" s="1">
        <v>2</v>
      </c>
      <c r="BE127" s="1">
        <v>402</v>
      </c>
      <c r="BF127" s="6" t="s">
        <v>250</v>
      </c>
      <c r="BG127" s="1">
        <v>45</v>
      </c>
      <c r="BH127" s="1">
        <v>45</v>
      </c>
      <c r="BI127" s="1">
        <v>0</v>
      </c>
      <c r="BJ127" s="1">
        <v>0</v>
      </c>
      <c r="BK127" s="1">
        <f>BH127+BI127</f>
        <v>45</v>
      </c>
      <c r="BL127" s="1">
        <v>25</v>
      </c>
      <c r="BM127" s="1">
        <v>1.8</v>
      </c>
      <c r="BN127" s="1" t="s">
        <v>110</v>
      </c>
      <c r="BO127" s="1">
        <v>0</v>
      </c>
      <c r="BP127" s="1">
        <v>1</v>
      </c>
      <c r="BQ127" s="1">
        <v>1</v>
      </c>
      <c r="BR127" s="3">
        <v>42884</v>
      </c>
      <c r="BS127" s="1" t="s">
        <v>61</v>
      </c>
      <c r="BT127" s="12" t="s">
        <v>60</v>
      </c>
      <c r="BU127" s="1">
        <v>5</v>
      </c>
      <c r="BV127" s="1">
        <v>1</v>
      </c>
      <c r="BW127" s="1">
        <v>11</v>
      </c>
      <c r="BX127" s="1">
        <v>0.72199999999999998</v>
      </c>
      <c r="BY127" s="1">
        <v>0.18099999999999999</v>
      </c>
      <c r="BZ127" s="1">
        <v>13.8</v>
      </c>
      <c r="CA127" s="1">
        <v>542</v>
      </c>
      <c r="CB127" s="1">
        <v>1.63</v>
      </c>
      <c r="CC127" s="1">
        <v>32.6</v>
      </c>
      <c r="CD127" s="1">
        <v>11.9</v>
      </c>
      <c r="CE127" s="1">
        <v>1</v>
      </c>
      <c r="CF127" s="3">
        <v>42957</v>
      </c>
      <c r="CG127" s="7">
        <f>CF127-AJ127</f>
        <v>37</v>
      </c>
      <c r="CH127" s="1" t="s">
        <v>1042</v>
      </c>
      <c r="CI127" s="12" t="s">
        <v>183</v>
      </c>
      <c r="CJ127" s="17" t="s">
        <v>182</v>
      </c>
      <c r="CK127" s="1" t="s">
        <v>811</v>
      </c>
      <c r="CL127" s="1" t="s">
        <v>45</v>
      </c>
      <c r="CM127" s="1">
        <v>1</v>
      </c>
      <c r="CN127" s="12" t="str">
        <f>MID(CK127,4,1)</f>
        <v>0</v>
      </c>
      <c r="CO127" s="1" t="s">
        <v>1025</v>
      </c>
      <c r="CP127" s="1">
        <v>0</v>
      </c>
      <c r="CQ127" s="1" t="s">
        <v>45</v>
      </c>
      <c r="CR127" s="1">
        <v>0</v>
      </c>
      <c r="CS127" s="1" t="s">
        <v>45</v>
      </c>
      <c r="CT127" s="1" t="s">
        <v>45</v>
      </c>
      <c r="CU127" s="1" t="s">
        <v>45</v>
      </c>
      <c r="CV127" s="1">
        <v>0</v>
      </c>
      <c r="CW127" s="1" t="s">
        <v>45</v>
      </c>
      <c r="CX127" s="1" t="s">
        <v>45</v>
      </c>
      <c r="CY127" s="1" t="s">
        <v>45</v>
      </c>
      <c r="CZ127" s="1">
        <v>0</v>
      </c>
      <c r="DA127" s="1">
        <v>66</v>
      </c>
      <c r="DB127" s="2">
        <f>CZ127/DA127*100</f>
        <v>0</v>
      </c>
      <c r="DC127" s="1">
        <v>0</v>
      </c>
      <c r="DD127" s="1">
        <v>0</v>
      </c>
      <c r="DE127" s="1">
        <v>0</v>
      </c>
      <c r="DF127" s="1" t="s">
        <v>45</v>
      </c>
      <c r="DG127" s="26" t="s">
        <v>1064</v>
      </c>
      <c r="DH127" s="7">
        <v>0</v>
      </c>
      <c r="DI127" s="7">
        <v>0</v>
      </c>
      <c r="DJ127" s="3">
        <v>44915</v>
      </c>
      <c r="DK127" s="1" t="s">
        <v>75</v>
      </c>
      <c r="DL127" s="12">
        <f>(DJ127-I127)/365.25*12</f>
        <v>66.726899383983564</v>
      </c>
      <c r="DM127" s="1">
        <v>0</v>
      </c>
      <c r="DN127" s="1" t="s">
        <v>45</v>
      </c>
      <c r="DO127" s="1" t="s">
        <v>45</v>
      </c>
      <c r="DP127" s="6" t="s">
        <v>45</v>
      </c>
      <c r="DQ127" s="7">
        <v>0</v>
      </c>
      <c r="DR127" s="3" t="s">
        <v>45</v>
      </c>
      <c r="DS127" s="10">
        <f>IF(DQ127=1, (DR127-$I127)/365.25*12, IF(DQ127=0, $DL127, "ERROR"))</f>
        <v>66.726899383983564</v>
      </c>
      <c r="DT127" s="7">
        <v>0</v>
      </c>
      <c r="DU127" s="7">
        <v>0</v>
      </c>
      <c r="DV127" s="7">
        <v>0</v>
      </c>
      <c r="DW127" s="16">
        <f>DU127*(1-DV127)</f>
        <v>0</v>
      </c>
      <c r="DX127" s="16">
        <f>(1-DU127)*DV127</f>
        <v>0</v>
      </c>
      <c r="DY127" s="16">
        <f>DU127*DV127</f>
        <v>0</v>
      </c>
      <c r="DZ127" s="3" t="s">
        <v>45</v>
      </c>
      <c r="EA127" s="10">
        <f>IF(DT127=1, (DZ127-$I127)/365.25*12, IF(DT127=0, $DL127, "ERROR"))</f>
        <v>66.726899383983564</v>
      </c>
      <c r="EB127" s="7">
        <v>0</v>
      </c>
      <c r="EC127" s="7">
        <v>0</v>
      </c>
      <c r="ED127" s="16">
        <f>1-((1-DQ127)*(1-DT127))</f>
        <v>0</v>
      </c>
      <c r="EE127" s="11" t="s">
        <v>45</v>
      </c>
      <c r="EF127" s="1" t="s">
        <v>45</v>
      </c>
      <c r="EG127" s="7" t="s">
        <v>45</v>
      </c>
      <c r="EH127" s="1" t="s">
        <v>45</v>
      </c>
      <c r="EI127" s="1">
        <v>0</v>
      </c>
      <c r="EJ127" s="16">
        <f>(1-DQ127)*DX127*(1-EI127)</f>
        <v>0</v>
      </c>
      <c r="EK127" s="1" t="s">
        <v>45</v>
      </c>
      <c r="EL127" s="10">
        <f>IF(EI127=1, (EK127-$I127)/365.25*12, IF(EI127=0, $DL127, "ERROR"))</f>
        <v>66.726899383983564</v>
      </c>
      <c r="EM127" s="1" t="s">
        <v>45</v>
      </c>
      <c r="EN127" s="1">
        <v>0</v>
      </c>
      <c r="EO127" s="1">
        <v>0</v>
      </c>
      <c r="EP127" s="1">
        <v>0</v>
      </c>
      <c r="EQ127" s="1">
        <v>0</v>
      </c>
      <c r="ER127" s="1">
        <v>0</v>
      </c>
      <c r="ES127" s="1">
        <v>0</v>
      </c>
      <c r="ET127" s="1">
        <v>0</v>
      </c>
      <c r="EU127" s="1">
        <v>0</v>
      </c>
      <c r="EV127" s="1">
        <v>0</v>
      </c>
      <c r="EW127" s="1">
        <f>1-((1-EP127)*(1-ET127)*(1-EU127)*(1-EV127))</f>
        <v>0</v>
      </c>
      <c r="EX127" s="7">
        <v>0</v>
      </c>
      <c r="EY127" s="7">
        <v>0</v>
      </c>
      <c r="EZ127" s="7">
        <v>0</v>
      </c>
      <c r="FA127" s="7">
        <v>0</v>
      </c>
      <c r="FB127" s="1" t="s">
        <v>45</v>
      </c>
      <c r="FC127" s="1">
        <v>0</v>
      </c>
      <c r="FD127" s="1">
        <v>1</v>
      </c>
      <c r="FF127" s="1" t="s">
        <v>45</v>
      </c>
      <c r="FG127" s="3">
        <f>IF(FC127=1, FF127, IF(FD127=1, 44348, DJ127))</f>
        <v>44348</v>
      </c>
      <c r="FH127" s="13">
        <f>(FG127-I127)/365.25*12</f>
        <v>48.098562628336751</v>
      </c>
      <c r="FI127" s="20">
        <f>IF(DM127=1, (DO127-I127)/365.25*12, IF(DM127=0, DL127, "ERROR"))</f>
        <v>66.726899383983564</v>
      </c>
      <c r="FJ127" s="14">
        <f>IF(OR(DM127,FC127), 1, 0)</f>
        <v>0</v>
      </c>
      <c r="FK127" s="11">
        <f>IF(DM127=1,IF(FC127=1,MIN(DO127,FF127),DO127),IF(FC127=1,FF127,DJ127))</f>
        <v>44915</v>
      </c>
      <c r="FL127" s="13">
        <f>(FK127-$I127)/365.25*12</f>
        <v>66.726899383983564</v>
      </c>
      <c r="FM127" s="14">
        <f>IF(OR(ED127,FC127), 1, 0)</f>
        <v>0</v>
      </c>
      <c r="FN127" s="11">
        <f>IF(ED127=1,IF(FC127=1,MIN(EE127,FF127),EE127),IF(FC127=1,FF127,DJ127))</f>
        <v>44915</v>
      </c>
      <c r="FO127" s="13">
        <f>(FN127-$I127)/365.25*12</f>
        <v>66.726899383983564</v>
      </c>
      <c r="FP127" s="14">
        <f>IF(OR(EI127,FC127), 1, 0)</f>
        <v>0</v>
      </c>
      <c r="FQ127" s="11">
        <f>IF(EI127=1,IF(FC127=1,MIN(EK127,FF127),EK127),IF(FC127=1,FF127,DJ127))</f>
        <v>44915</v>
      </c>
      <c r="FR127" s="13">
        <f>(FQ127-$I127)/365.25*12</f>
        <v>66.726899383983564</v>
      </c>
      <c r="FU127" s="1">
        <v>1</v>
      </c>
      <c r="FV127" s="1">
        <v>1</v>
      </c>
      <c r="FW127" s="1">
        <v>0</v>
      </c>
      <c r="FX127" s="1">
        <v>0</v>
      </c>
      <c r="FY127" s="1" t="s">
        <v>1063</v>
      </c>
      <c r="GA127" s="1">
        <v>2</v>
      </c>
      <c r="GB127" s="1">
        <v>0.5</v>
      </c>
      <c r="GC127" s="1">
        <v>219.17310000000001</v>
      </c>
      <c r="GD127" s="1">
        <v>100.60550000000001</v>
      </c>
      <c r="GE127" s="25">
        <v>2</v>
      </c>
      <c r="GF127" s="25">
        <v>2</v>
      </c>
      <c r="GG127" s="1">
        <v>629.71119999999996</v>
      </c>
      <c r="GH127" s="24">
        <v>388.52929999999998</v>
      </c>
    </row>
    <row r="128" spans="1:190" ht="12.75" customHeight="1">
      <c r="A128" s="1" t="s">
        <v>1145</v>
      </c>
      <c r="B128" s="15" t="s">
        <v>1144</v>
      </c>
      <c r="C128" s="4">
        <v>48418610</v>
      </c>
      <c r="D128" s="4">
        <v>0</v>
      </c>
      <c r="E128" s="4">
        <v>0</v>
      </c>
      <c r="F128" s="4">
        <v>1</v>
      </c>
      <c r="G128" s="12">
        <v>1</v>
      </c>
      <c r="I128" s="3">
        <v>42584</v>
      </c>
      <c r="J128" s="3">
        <v>42558</v>
      </c>
      <c r="K128" s="3">
        <v>16317</v>
      </c>
      <c r="L128" s="5">
        <f>(DAYS360(K128,I128))/365</f>
        <v>70.93150684931507</v>
      </c>
      <c r="M128" s="1" t="s">
        <v>5</v>
      </c>
      <c r="N128" s="1">
        <v>1</v>
      </c>
      <c r="O128" s="1">
        <v>0</v>
      </c>
      <c r="P128" s="1" t="s">
        <v>69</v>
      </c>
      <c r="Q128" s="1">
        <v>1</v>
      </c>
      <c r="R128" s="1" t="s">
        <v>18</v>
      </c>
      <c r="S128" s="1" t="s">
        <v>1076</v>
      </c>
      <c r="T128" s="1" t="s">
        <v>67</v>
      </c>
      <c r="U128" s="1">
        <v>0</v>
      </c>
      <c r="V128" s="1">
        <v>0</v>
      </c>
      <c r="W128" s="1">
        <v>1</v>
      </c>
      <c r="X128" s="1" t="s">
        <v>117</v>
      </c>
      <c r="Y128" s="1">
        <v>3</v>
      </c>
      <c r="Z128" s="1">
        <v>1</v>
      </c>
      <c r="AA128" s="1" t="s">
        <v>116</v>
      </c>
      <c r="AC128" s="1">
        <v>3</v>
      </c>
      <c r="AD128" s="1" t="s">
        <v>1143</v>
      </c>
      <c r="AE128" s="1" t="s">
        <v>114</v>
      </c>
      <c r="AF128" s="1">
        <v>0</v>
      </c>
      <c r="AG128" s="1">
        <v>0</v>
      </c>
      <c r="AH128" s="1">
        <v>0</v>
      </c>
      <c r="AI128" s="3">
        <v>42584</v>
      </c>
      <c r="AJ128" s="3">
        <v>42619</v>
      </c>
      <c r="AK128" s="6" t="s">
        <v>1142</v>
      </c>
      <c r="AL128" s="6" t="s">
        <v>123</v>
      </c>
      <c r="AM128" s="1">
        <v>1</v>
      </c>
      <c r="AN128" s="1">
        <v>1</v>
      </c>
      <c r="AO128" s="1">
        <v>0</v>
      </c>
      <c r="AP128" s="1">
        <v>0</v>
      </c>
      <c r="AQ128" s="1">
        <v>0</v>
      </c>
      <c r="AR128" s="1">
        <v>0</v>
      </c>
      <c r="AS128" s="1">
        <v>0</v>
      </c>
      <c r="AT128" s="1">
        <v>0</v>
      </c>
      <c r="AU128" s="6" t="s">
        <v>1141</v>
      </c>
      <c r="AV128" s="1">
        <v>0.5</v>
      </c>
      <c r="AW128" s="1"/>
      <c r="AX128" s="6" t="s">
        <v>45</v>
      </c>
      <c r="AY128" s="6" t="s">
        <v>45</v>
      </c>
      <c r="AZ128" s="1">
        <v>0.5</v>
      </c>
      <c r="BA128" s="1">
        <f>1.5+1.2+0.3</f>
        <v>3</v>
      </c>
      <c r="BB128" s="1">
        <v>280.39999999999998</v>
      </c>
      <c r="BC128" s="1">
        <f>13.2-1.8+0.3</f>
        <v>11.7</v>
      </c>
      <c r="BD128" s="1">
        <v>2</v>
      </c>
      <c r="BE128" s="1">
        <v>489</v>
      </c>
      <c r="BF128" s="1" t="s">
        <v>123</v>
      </c>
      <c r="BG128" s="1">
        <v>45</v>
      </c>
      <c r="BH128" s="1">
        <v>45</v>
      </c>
      <c r="BI128" s="1">
        <v>0</v>
      </c>
      <c r="BJ128" s="1">
        <v>0</v>
      </c>
      <c r="BK128" s="1">
        <f>BH128+BI128</f>
        <v>45</v>
      </c>
      <c r="BL128" s="1">
        <v>25</v>
      </c>
      <c r="BM128" s="1">
        <v>1.8</v>
      </c>
      <c r="BN128" s="1" t="s">
        <v>62</v>
      </c>
      <c r="BO128" s="1">
        <v>1</v>
      </c>
      <c r="BP128" s="1">
        <v>1</v>
      </c>
      <c r="BQ128" s="1">
        <v>1</v>
      </c>
      <c r="BR128" s="3">
        <v>42584</v>
      </c>
      <c r="BS128" s="1" t="s">
        <v>61</v>
      </c>
      <c r="BT128" s="12" t="s">
        <v>60</v>
      </c>
      <c r="BU128" s="1">
        <v>4</v>
      </c>
      <c r="BV128" s="1">
        <v>0</v>
      </c>
      <c r="BW128" s="1">
        <v>6.05</v>
      </c>
      <c r="BX128" s="1">
        <v>0.55800000000000005</v>
      </c>
      <c r="BY128" s="1">
        <v>0.33200000000000002</v>
      </c>
      <c r="BZ128" s="1">
        <v>14.4</v>
      </c>
      <c r="CA128" s="1">
        <v>143</v>
      </c>
      <c r="CB128" s="1">
        <v>1.76</v>
      </c>
      <c r="CC128" s="1">
        <v>48.2</v>
      </c>
      <c r="CE128" s="1">
        <v>1</v>
      </c>
      <c r="CF128" s="3">
        <v>42656</v>
      </c>
      <c r="CG128" s="7">
        <f>CF128-AJ128</f>
        <v>37</v>
      </c>
      <c r="CH128" s="1" t="s">
        <v>1140</v>
      </c>
      <c r="CI128" s="17" t="s">
        <v>460</v>
      </c>
      <c r="CJ128" s="1" t="s">
        <v>515</v>
      </c>
      <c r="CK128" s="1" t="s">
        <v>811</v>
      </c>
      <c r="CL128" s="1" t="s">
        <v>45</v>
      </c>
      <c r="CM128" s="1">
        <v>1</v>
      </c>
      <c r="CN128" s="12" t="str">
        <f>MID(CK128,4,1)</f>
        <v>0</v>
      </c>
      <c r="CO128" s="1" t="s">
        <v>1025</v>
      </c>
      <c r="CP128" s="1">
        <v>0</v>
      </c>
      <c r="CQ128" s="1" t="s">
        <v>45</v>
      </c>
      <c r="CR128" s="1">
        <v>0</v>
      </c>
      <c r="CS128" s="1" t="s">
        <v>45</v>
      </c>
      <c r="CT128" s="1" t="s">
        <v>45</v>
      </c>
      <c r="CU128" s="1" t="s">
        <v>45</v>
      </c>
      <c r="CV128" s="1">
        <v>0</v>
      </c>
      <c r="CW128" s="1" t="s">
        <v>45</v>
      </c>
      <c r="CX128" s="1" t="s">
        <v>45</v>
      </c>
      <c r="CY128" s="1" t="s">
        <v>45</v>
      </c>
      <c r="CZ128" s="1">
        <v>0</v>
      </c>
      <c r="DA128" s="1">
        <v>45</v>
      </c>
      <c r="DB128" s="2">
        <f>CZ128/DA128*100</f>
        <v>0</v>
      </c>
      <c r="DC128" s="1">
        <v>0</v>
      </c>
      <c r="DD128" s="1">
        <v>0</v>
      </c>
      <c r="DE128" s="1">
        <v>0</v>
      </c>
      <c r="DF128" s="1">
        <v>0</v>
      </c>
      <c r="DG128" s="26" t="s">
        <v>1139</v>
      </c>
      <c r="DH128" s="7">
        <v>0</v>
      </c>
      <c r="DI128" s="7">
        <v>0</v>
      </c>
      <c r="DJ128" s="3">
        <v>42903</v>
      </c>
      <c r="DK128" s="1" t="s">
        <v>339</v>
      </c>
      <c r="DL128" s="12">
        <f>(DJ128-I128)/365.25*12</f>
        <v>10.480492813141684</v>
      </c>
      <c r="DM128" s="1">
        <v>0</v>
      </c>
      <c r="DN128" s="1" t="s">
        <v>45</v>
      </c>
      <c r="DO128" s="1" t="s">
        <v>45</v>
      </c>
      <c r="DP128" s="6" t="s">
        <v>45</v>
      </c>
      <c r="DQ128" s="7">
        <v>0</v>
      </c>
      <c r="DR128" s="3" t="s">
        <v>45</v>
      </c>
      <c r="DS128" s="10">
        <f>IF(DQ128=1, (DR128-$I128)/365.25*12, IF(DQ128=0, $DL128, "ERROR"))</f>
        <v>10.480492813141684</v>
      </c>
      <c r="DT128" s="7">
        <v>0</v>
      </c>
      <c r="DU128" s="7">
        <v>0</v>
      </c>
      <c r="DV128" s="7">
        <v>0</v>
      </c>
      <c r="DW128" s="16">
        <f>DU128*(1-DV128)</f>
        <v>0</v>
      </c>
      <c r="DX128" s="16">
        <f>(1-DU128)*DV128</f>
        <v>0</v>
      </c>
      <c r="DY128" s="16">
        <f>DU128*DV128</f>
        <v>0</v>
      </c>
      <c r="DZ128" s="3" t="s">
        <v>45</v>
      </c>
      <c r="EA128" s="10">
        <f>IF(DT128=1, (DZ128-$I128)/365.25*12, IF(DT128=0, $DL128, "ERROR"))</f>
        <v>10.480492813141684</v>
      </c>
      <c r="EB128" s="7">
        <v>0</v>
      </c>
      <c r="EC128" s="7">
        <v>0</v>
      </c>
      <c r="ED128" s="16">
        <f>1-((1-DQ128)*(1-DT128))</f>
        <v>0</v>
      </c>
      <c r="EE128" s="11" t="s">
        <v>45</v>
      </c>
      <c r="EF128" s="1" t="s">
        <v>45</v>
      </c>
      <c r="EG128" s="7" t="s">
        <v>45</v>
      </c>
      <c r="EH128" s="1" t="s">
        <v>45</v>
      </c>
      <c r="EI128" s="1">
        <v>0</v>
      </c>
      <c r="EJ128" s="16">
        <f>(1-DQ128)*DX128*(1-EI128)</f>
        <v>0</v>
      </c>
      <c r="EK128" s="1" t="s">
        <v>45</v>
      </c>
      <c r="EL128" s="10">
        <f>IF(EI128=1, (EK128-$I128)/365.25*12, IF(EI128=0, $DL128, "ERROR"))</f>
        <v>10.480492813141684</v>
      </c>
      <c r="EM128" s="1" t="s">
        <v>45</v>
      </c>
      <c r="EN128" s="1">
        <v>0</v>
      </c>
      <c r="EO128" s="1">
        <v>0</v>
      </c>
      <c r="EP128" s="1">
        <v>0</v>
      </c>
      <c r="EQ128" s="1">
        <v>0</v>
      </c>
      <c r="ER128" s="1">
        <v>0</v>
      </c>
      <c r="ES128" s="1">
        <v>0</v>
      </c>
      <c r="ET128" s="1">
        <v>0</v>
      </c>
      <c r="EU128" s="1">
        <v>0</v>
      </c>
      <c r="EV128" s="1">
        <v>0</v>
      </c>
      <c r="EW128" s="1">
        <f>1-((1-EP128)*(1-ET128)*(1-EU128)*(1-EV128))</f>
        <v>0</v>
      </c>
      <c r="EX128" s="7">
        <v>0</v>
      </c>
      <c r="EY128" s="7">
        <v>0</v>
      </c>
      <c r="EZ128" s="7">
        <v>0</v>
      </c>
      <c r="FA128" s="7">
        <v>0</v>
      </c>
      <c r="FB128" s="1" t="s">
        <v>45</v>
      </c>
      <c r="FC128" s="1">
        <v>1</v>
      </c>
      <c r="FD128" s="1">
        <v>1</v>
      </c>
      <c r="FF128" s="3">
        <v>42903</v>
      </c>
      <c r="FG128" s="3">
        <f>IF(FC128=1, FF128, IF(FD128=1, 44348, DJ128))</f>
        <v>42903</v>
      </c>
      <c r="FH128" s="13">
        <f>(FG128-I128)/365.25*12</f>
        <v>10.480492813141684</v>
      </c>
      <c r="FI128" s="20">
        <f>IF(DM128=1, (DO128-I128)/365.25*12, IF(DM128=0, DL128, "ERROR"))</f>
        <v>10.480492813141684</v>
      </c>
      <c r="FJ128" s="14">
        <f>IF(OR(DM128,FC128), 1, 0)</f>
        <v>1</v>
      </c>
      <c r="FK128" s="11">
        <f>IF(DM128=1,IF(FC128=1,MIN(DO128,FF128),DO128),IF(FC128=1,FF128,DJ128))</f>
        <v>42903</v>
      </c>
      <c r="FL128" s="13">
        <f>(FK128-$I128)/365.25*12</f>
        <v>10.480492813141684</v>
      </c>
      <c r="FM128" s="14">
        <f>IF(OR(ED128,FC128), 1, 0)</f>
        <v>1</v>
      </c>
      <c r="FN128" s="11">
        <f>IF(ED128=1,IF(FC128=1,MIN(EE128,FF128),EE128),IF(FC128=1,FF128,DJ128))</f>
        <v>42903</v>
      </c>
      <c r="FO128" s="13">
        <f>(FN128-$I128)/365.25*12</f>
        <v>10.480492813141684</v>
      </c>
      <c r="FP128" s="14">
        <f>IF(OR(EI128,FC128), 1, 0)</f>
        <v>1</v>
      </c>
      <c r="FQ128" s="11">
        <f>IF(EI128=1,IF(FC128=1,MIN(EK128,FF128),EK128),IF(FC128=1,FF128,DJ128))</f>
        <v>42903</v>
      </c>
      <c r="FR128" s="13">
        <f>(FQ128-$I128)/365.25*12</f>
        <v>10.480492813141684</v>
      </c>
      <c r="FU128" s="1">
        <v>0</v>
      </c>
      <c r="FV128" s="1">
        <v>0</v>
      </c>
      <c r="FW128" s="1">
        <v>0</v>
      </c>
      <c r="FX128" s="1">
        <v>0</v>
      </c>
      <c r="FY128" s="1" t="s">
        <v>1138</v>
      </c>
      <c r="GA128" s="1">
        <v>5</v>
      </c>
      <c r="GB128" s="1">
        <v>5</v>
      </c>
      <c r="GC128" s="1">
        <v>2158.5360000000001</v>
      </c>
      <c r="GD128" s="1">
        <v>347.31560000000002</v>
      </c>
      <c r="GE128" s="25">
        <v>1</v>
      </c>
      <c r="GF128" s="25">
        <v>1</v>
      </c>
      <c r="GG128" s="1">
        <v>908.98119999999994</v>
      </c>
      <c r="GH128" s="24">
        <v>756.39290000000005</v>
      </c>
    </row>
    <row r="129" spans="1:190" ht="12.75" customHeight="1">
      <c r="A129" s="1" t="s">
        <v>1116</v>
      </c>
      <c r="B129" s="15" t="s">
        <v>1115</v>
      </c>
      <c r="C129" s="1">
        <v>48784843</v>
      </c>
      <c r="D129" s="1">
        <v>0</v>
      </c>
      <c r="E129" s="1">
        <v>0</v>
      </c>
      <c r="F129" s="1">
        <v>1</v>
      </c>
      <c r="G129" s="12">
        <v>1</v>
      </c>
      <c r="I129" s="3">
        <v>42720</v>
      </c>
      <c r="J129" s="3">
        <v>42662</v>
      </c>
      <c r="K129" s="3">
        <v>17732</v>
      </c>
      <c r="L129" s="5">
        <f>(DAYS360(K129,I129))/365</f>
        <v>67.473972602739721</v>
      </c>
      <c r="M129" s="1" t="s">
        <v>5</v>
      </c>
      <c r="N129" s="1">
        <v>1</v>
      </c>
      <c r="O129" s="1">
        <v>0</v>
      </c>
      <c r="P129" s="1" t="s">
        <v>161</v>
      </c>
      <c r="Q129" s="1">
        <v>0</v>
      </c>
      <c r="R129" s="1" t="s">
        <v>18</v>
      </c>
      <c r="S129" s="1" t="s">
        <v>1114</v>
      </c>
      <c r="T129" s="1" t="s">
        <v>140</v>
      </c>
      <c r="U129" s="1">
        <v>1</v>
      </c>
      <c r="V129" s="1">
        <v>0</v>
      </c>
      <c r="W129" s="1">
        <v>0</v>
      </c>
      <c r="X129" s="1" t="s">
        <v>1113</v>
      </c>
      <c r="Y129" s="1">
        <v>2</v>
      </c>
      <c r="Z129" s="1">
        <v>0</v>
      </c>
      <c r="AA129" s="1" t="s">
        <v>96</v>
      </c>
      <c r="AC129" s="1">
        <v>5</v>
      </c>
      <c r="AD129" s="1" t="s">
        <v>1112</v>
      </c>
      <c r="AE129" s="1" t="s">
        <v>174</v>
      </c>
      <c r="AF129" s="1">
        <v>1</v>
      </c>
      <c r="AG129" s="1">
        <v>1</v>
      </c>
      <c r="AH129" s="1">
        <v>1</v>
      </c>
      <c r="AI129" s="3">
        <v>42720</v>
      </c>
      <c r="AJ129" s="3">
        <v>42754</v>
      </c>
      <c r="AK129" s="6" t="s">
        <v>1111</v>
      </c>
      <c r="AL129" s="6" t="s">
        <v>123</v>
      </c>
      <c r="AM129" s="1">
        <v>0</v>
      </c>
      <c r="AN129" s="1">
        <v>0</v>
      </c>
      <c r="AO129" s="1">
        <v>0</v>
      </c>
      <c r="AP129" s="1">
        <v>0</v>
      </c>
      <c r="AQ129" s="1">
        <v>0</v>
      </c>
      <c r="AR129" s="1">
        <v>0</v>
      </c>
      <c r="AS129" s="12">
        <f>IF(AND(AM129=0,AU129&lt;=2), 1, 0)</f>
        <v>0</v>
      </c>
      <c r="AT129" s="12">
        <v>0</v>
      </c>
      <c r="AU129" s="1">
        <v>4</v>
      </c>
      <c r="AV129" s="1">
        <v>1</v>
      </c>
      <c r="AW129" s="1"/>
      <c r="AX129" s="6" t="s">
        <v>45</v>
      </c>
      <c r="AY129" s="6" t="s">
        <v>45</v>
      </c>
      <c r="AZ129" s="1">
        <v>0.5</v>
      </c>
      <c r="BA129" s="1">
        <f>7.5-0.6+0.3</f>
        <v>7.2</v>
      </c>
      <c r="BB129" s="1">
        <v>192.2</v>
      </c>
      <c r="BC129" s="1">
        <v>2</v>
      </c>
      <c r="BD129" s="1">
        <v>3.6</v>
      </c>
      <c r="BE129" s="1">
        <v>360.9</v>
      </c>
      <c r="BF129" s="1" t="s">
        <v>123</v>
      </c>
      <c r="BG129" s="1">
        <v>45</v>
      </c>
      <c r="BH129" s="1">
        <v>45</v>
      </c>
      <c r="BI129" s="1">
        <v>0</v>
      </c>
      <c r="BJ129" s="1">
        <v>0</v>
      </c>
      <c r="BK129" s="1">
        <f>BH129+BI129</f>
        <v>45</v>
      </c>
      <c r="BL129" s="1">
        <v>25</v>
      </c>
      <c r="BM129" s="1">
        <v>1.8</v>
      </c>
      <c r="BN129" s="1" t="s">
        <v>110</v>
      </c>
      <c r="BO129" s="1">
        <v>0</v>
      </c>
      <c r="BP129" s="1">
        <v>1</v>
      </c>
      <c r="BQ129" s="1">
        <v>1</v>
      </c>
      <c r="BR129" s="3">
        <v>42720</v>
      </c>
      <c r="BS129" s="1" t="s">
        <v>61</v>
      </c>
      <c r="BT129" s="12" t="s">
        <v>60</v>
      </c>
      <c r="BU129" s="1">
        <v>5</v>
      </c>
      <c r="BV129" s="1">
        <v>1</v>
      </c>
      <c r="BW129" s="1">
        <v>7.4</v>
      </c>
      <c r="BX129" s="1">
        <f>0.34+0.05</f>
        <v>0.39</v>
      </c>
      <c r="BY129" s="1">
        <v>0.26</v>
      </c>
      <c r="BZ129" s="1">
        <v>14.6</v>
      </c>
      <c r="CA129" s="1">
        <v>295</v>
      </c>
      <c r="CB129" s="1">
        <v>1.63</v>
      </c>
      <c r="CC129" s="1">
        <v>20.3</v>
      </c>
      <c r="CD129" s="1">
        <v>11.8</v>
      </c>
      <c r="CE129" s="1">
        <v>1</v>
      </c>
      <c r="CF129" s="3">
        <v>42796</v>
      </c>
      <c r="CG129" s="7">
        <f>CF129-AJ129</f>
        <v>42</v>
      </c>
      <c r="CH129" s="1" t="s">
        <v>1026</v>
      </c>
      <c r="CI129" s="12" t="s">
        <v>183</v>
      </c>
      <c r="CJ129" s="17" t="s">
        <v>182</v>
      </c>
      <c r="CK129" s="1" t="s">
        <v>1110</v>
      </c>
      <c r="CL129" s="1" t="s">
        <v>1109</v>
      </c>
      <c r="CM129" s="1">
        <v>0</v>
      </c>
      <c r="CN129" s="12" t="str">
        <f>MID(CK129,4,1)</f>
        <v>3</v>
      </c>
      <c r="CO129" s="1" t="s">
        <v>1091</v>
      </c>
      <c r="CP129" s="1">
        <v>3</v>
      </c>
      <c r="CQ129" s="1" t="s">
        <v>1108</v>
      </c>
      <c r="CR129" s="1">
        <v>2.8</v>
      </c>
      <c r="CS129" s="1" t="s">
        <v>1014</v>
      </c>
      <c r="CT129" s="1" t="s">
        <v>511</v>
      </c>
      <c r="CU129" s="1" t="s">
        <v>794</v>
      </c>
      <c r="CV129" s="1">
        <v>1</v>
      </c>
      <c r="CW129" s="1">
        <v>0</v>
      </c>
      <c r="CX129" s="1">
        <v>17.5</v>
      </c>
      <c r="CY129" s="1">
        <v>0.05</v>
      </c>
      <c r="CZ129" s="1">
        <v>2</v>
      </c>
      <c r="DA129" s="1">
        <v>60</v>
      </c>
      <c r="DB129" s="2">
        <f>CZ129/DA129*100</f>
        <v>3.3333333333333335</v>
      </c>
      <c r="DC129" s="1">
        <v>0</v>
      </c>
      <c r="DD129" s="1">
        <v>0</v>
      </c>
      <c r="DE129" s="1">
        <v>1</v>
      </c>
      <c r="DF129" s="1">
        <v>0</v>
      </c>
      <c r="DG129" s="26" t="s">
        <v>1107</v>
      </c>
      <c r="DH129" s="7">
        <v>1</v>
      </c>
      <c r="DI129" s="7">
        <v>1</v>
      </c>
      <c r="DJ129" s="3">
        <v>44330</v>
      </c>
      <c r="DK129" s="1" t="s">
        <v>1106</v>
      </c>
      <c r="DL129" s="12">
        <f>(DJ129-I129)/365.25*12</f>
        <v>52.895277207392198</v>
      </c>
      <c r="DM129" s="1">
        <v>1</v>
      </c>
      <c r="DN129" s="1" t="s">
        <v>337</v>
      </c>
      <c r="DO129" s="3">
        <v>42994</v>
      </c>
      <c r="DP129" s="6" t="s">
        <v>45</v>
      </c>
      <c r="DQ129" s="7">
        <v>0</v>
      </c>
      <c r="DR129" s="3" t="s">
        <v>45</v>
      </c>
      <c r="DS129" s="10">
        <f>IF(DQ129=1, (DR129-$I129)/365.25*12, IF(DQ129=0, $DL129, "ERROR"))</f>
        <v>52.895277207392198</v>
      </c>
      <c r="DT129" s="7">
        <v>0</v>
      </c>
      <c r="DU129" s="7">
        <v>0</v>
      </c>
      <c r="DV129" s="7">
        <v>0</v>
      </c>
      <c r="DW129" s="16">
        <f>DU129*(1-DV129)</f>
        <v>0</v>
      </c>
      <c r="DX129" s="16">
        <f>(1-DU129)*DV129</f>
        <v>0</v>
      </c>
      <c r="DY129" s="16">
        <f>DU129*DV129</f>
        <v>0</v>
      </c>
      <c r="DZ129" s="3" t="s">
        <v>45</v>
      </c>
      <c r="EA129" s="10">
        <f>IF(DT129=1, (DZ129-$I129)/365.25*12, IF(DT129=0, $DL129, "ERROR"))</f>
        <v>52.895277207392198</v>
      </c>
      <c r="EB129" s="7">
        <v>0</v>
      </c>
      <c r="EC129" s="7">
        <v>0</v>
      </c>
      <c r="ED129" s="16">
        <f>1-((1-DQ129)*(1-DT129))</f>
        <v>0</v>
      </c>
      <c r="EE129" s="11" t="s">
        <v>45</v>
      </c>
      <c r="EF129" s="1" t="s">
        <v>45</v>
      </c>
      <c r="EG129" s="7" t="s">
        <v>45</v>
      </c>
      <c r="EH129" s="1" t="s">
        <v>45</v>
      </c>
      <c r="EI129" s="1">
        <v>1</v>
      </c>
      <c r="EJ129" s="16">
        <f>(1-DQ129)*DX129*(1-EI129)</f>
        <v>0</v>
      </c>
      <c r="EK129" s="3">
        <v>42994</v>
      </c>
      <c r="EL129" s="10">
        <f>IF(EI129=1, (EK129-$I129)/365.25*12, IF(EI129=0, $DL129, "ERROR"))</f>
        <v>9.0020533880903493</v>
      </c>
      <c r="EM129" s="1" t="s">
        <v>337</v>
      </c>
      <c r="EN129" s="7">
        <v>1</v>
      </c>
      <c r="EO129" s="7">
        <v>0</v>
      </c>
      <c r="EP129" s="7">
        <v>0</v>
      </c>
      <c r="EQ129" s="7">
        <v>0</v>
      </c>
      <c r="ER129" s="7">
        <v>0</v>
      </c>
      <c r="ES129" s="7">
        <v>0</v>
      </c>
      <c r="ET129" s="7">
        <v>0</v>
      </c>
      <c r="EU129" s="7">
        <v>0</v>
      </c>
      <c r="EV129" s="7">
        <v>0</v>
      </c>
      <c r="EW129" s="1">
        <f>1-((1-EP129)*(1-ET129)*(1-EU129)*(1-EV129))</f>
        <v>0</v>
      </c>
      <c r="EX129" s="7">
        <v>0</v>
      </c>
      <c r="EY129" s="7">
        <v>0</v>
      </c>
      <c r="EZ129" s="7">
        <v>0</v>
      </c>
      <c r="FA129" s="7">
        <v>0</v>
      </c>
      <c r="FB129" s="1" t="s">
        <v>45</v>
      </c>
      <c r="FC129" s="1">
        <v>0</v>
      </c>
      <c r="FD129" s="1">
        <v>1</v>
      </c>
      <c r="FF129" s="1" t="s">
        <v>45</v>
      </c>
      <c r="FG129" s="3">
        <f>IF(FC129=1, FF129, IF(FD129=1, 44348, DJ129))</f>
        <v>44348</v>
      </c>
      <c r="FH129" s="13">
        <f>(FG129-I129)/365.25*12</f>
        <v>53.486652977412732</v>
      </c>
      <c r="FI129" s="20">
        <f>IF(DM129=1, (DO129-I129)/365.25*12, IF(DM129=0, DL129, "ERROR"))</f>
        <v>9.0020533880903493</v>
      </c>
      <c r="FJ129" s="14">
        <f>IF(OR(DM129,FC129), 1, 0)</f>
        <v>1</v>
      </c>
      <c r="FK129" s="11">
        <f>IF(DM129=1,IF(FC129=1,MIN(DO129,FF129),DO129),IF(FC129=1,FF129,DJ129))</f>
        <v>42994</v>
      </c>
      <c r="FL129" s="13">
        <f>(FK129-$I129)/365.25*12</f>
        <v>9.0020533880903493</v>
      </c>
      <c r="FM129" s="14">
        <f>IF(OR(ED129,FC129), 1, 0)</f>
        <v>0</v>
      </c>
      <c r="FN129" s="11">
        <f>IF(ED129=1,IF(FC129=1,MIN(EE129,FF129),EE129),IF(FC129=1,FF129,DJ129))</f>
        <v>44330</v>
      </c>
      <c r="FO129" s="13">
        <f>(FN129-$I129)/365.25*12</f>
        <v>52.895277207392198</v>
      </c>
      <c r="FP129" s="14">
        <f>IF(OR(EI129,FC129), 1, 0)</f>
        <v>1</v>
      </c>
      <c r="FQ129" s="11">
        <f>IF(EI129=1,IF(FC129=1,MIN(EK129,FF129),EK129),IF(FC129=1,FF129,DJ129))</f>
        <v>42994</v>
      </c>
      <c r="FR129" s="13">
        <f>(FQ129-$I129)/365.25*12</f>
        <v>9.0020533880903493</v>
      </c>
      <c r="FU129" s="1">
        <v>1</v>
      </c>
      <c r="FV129" s="1">
        <v>1</v>
      </c>
      <c r="FW129" s="1">
        <v>0</v>
      </c>
      <c r="FX129" s="1">
        <v>0</v>
      </c>
      <c r="GA129" s="1">
        <v>5</v>
      </c>
      <c r="GB129" s="1">
        <v>5</v>
      </c>
      <c r="GC129" s="1">
        <v>678.29449999999997</v>
      </c>
      <c r="GD129" s="1">
        <v>124.21769999999999</v>
      </c>
      <c r="GE129" s="25">
        <v>1</v>
      </c>
      <c r="GF129" s="25">
        <v>1</v>
      </c>
      <c r="GG129" s="1">
        <v>2038.6648</v>
      </c>
      <c r="GH129" s="24">
        <v>1340.4663</v>
      </c>
    </row>
    <row r="130" spans="1:190" ht="12.75" customHeight="1">
      <c r="A130" s="1" t="s">
        <v>999</v>
      </c>
      <c r="B130" s="15" t="s">
        <v>998</v>
      </c>
      <c r="C130" s="1">
        <v>49087653</v>
      </c>
      <c r="D130" s="1">
        <v>0</v>
      </c>
      <c r="E130" s="1">
        <v>0</v>
      </c>
      <c r="F130" s="1">
        <v>1</v>
      </c>
      <c r="G130" s="12">
        <v>1</v>
      </c>
      <c r="I130" s="3">
        <v>42807</v>
      </c>
      <c r="J130" s="3">
        <v>42769</v>
      </c>
      <c r="K130" s="3">
        <v>15675</v>
      </c>
      <c r="L130" s="5">
        <f>(DAYS360(K130,I130))/365</f>
        <v>73.268493150684932</v>
      </c>
      <c r="M130" s="1" t="s">
        <v>5</v>
      </c>
      <c r="N130" s="1">
        <v>0</v>
      </c>
      <c r="O130" s="1">
        <v>0</v>
      </c>
      <c r="P130" s="1" t="s">
        <v>45</v>
      </c>
      <c r="R130" s="1" t="s">
        <v>18</v>
      </c>
      <c r="S130" s="1">
        <v>21</v>
      </c>
      <c r="T130" s="1" t="s">
        <v>140</v>
      </c>
      <c r="U130" s="1">
        <v>1</v>
      </c>
      <c r="V130" s="1">
        <v>0</v>
      </c>
      <c r="W130" s="1">
        <v>0</v>
      </c>
      <c r="X130" s="1" t="s">
        <v>243</v>
      </c>
      <c r="Y130" s="1">
        <v>3</v>
      </c>
      <c r="Z130" s="1">
        <v>1</v>
      </c>
      <c r="AA130" s="1" t="s">
        <v>96</v>
      </c>
      <c r="AC130" s="1">
        <v>5</v>
      </c>
      <c r="AD130" s="1" t="s">
        <v>997</v>
      </c>
      <c r="AE130" s="1" t="s">
        <v>94</v>
      </c>
      <c r="AF130" s="1">
        <v>1</v>
      </c>
      <c r="AG130" s="1">
        <v>1</v>
      </c>
      <c r="AH130" s="1">
        <v>1</v>
      </c>
      <c r="AI130" s="3">
        <v>42807</v>
      </c>
      <c r="AJ130" s="3">
        <v>42843</v>
      </c>
      <c r="AK130" s="6" t="s">
        <v>996</v>
      </c>
      <c r="AL130" s="6" t="s">
        <v>995</v>
      </c>
      <c r="AM130" s="1">
        <v>1</v>
      </c>
      <c r="AN130" s="1">
        <v>0</v>
      </c>
      <c r="AO130" s="1">
        <v>1</v>
      </c>
      <c r="AP130" s="1">
        <v>0</v>
      </c>
      <c r="AQ130" s="1">
        <v>0</v>
      </c>
      <c r="AR130" s="1">
        <v>0</v>
      </c>
      <c r="AS130" s="12">
        <f>IF(AND(AM130=0,AU130&lt;=2), 1, 0)</f>
        <v>0</v>
      </c>
      <c r="AT130" s="12">
        <v>1</v>
      </c>
      <c r="AU130" s="1">
        <v>2</v>
      </c>
      <c r="AV130" s="1">
        <v>0.5</v>
      </c>
      <c r="AW130" s="1"/>
      <c r="AX130" s="6" t="s">
        <v>45</v>
      </c>
      <c r="AY130" s="6" t="s">
        <v>45</v>
      </c>
      <c r="AZ130" s="1">
        <v>0.5</v>
      </c>
      <c r="BA130" s="1">
        <f>5.4+1.2+0.3</f>
        <v>6.9</v>
      </c>
      <c r="BB130" s="1">
        <v>252.1</v>
      </c>
      <c r="BC130" s="1">
        <v>2</v>
      </c>
      <c r="BD130" s="1">
        <f>3.9-1.5+0.3</f>
        <v>2.6999999999999997</v>
      </c>
      <c r="BE130" s="1">
        <v>463.9</v>
      </c>
      <c r="BG130" s="1">
        <v>45</v>
      </c>
      <c r="BH130" s="1">
        <v>45</v>
      </c>
      <c r="BI130" s="1">
        <v>0</v>
      </c>
      <c r="BJ130" s="1">
        <v>0</v>
      </c>
      <c r="BK130" s="1">
        <f>BH130+BI130</f>
        <v>45</v>
      </c>
      <c r="BL130" s="1">
        <v>25</v>
      </c>
      <c r="BM130" s="1">
        <v>1.8</v>
      </c>
      <c r="BN130" s="1" t="s">
        <v>62</v>
      </c>
      <c r="BO130" s="1">
        <v>1</v>
      </c>
      <c r="BP130" s="1">
        <v>1</v>
      </c>
      <c r="BQ130" s="1">
        <v>1</v>
      </c>
      <c r="BR130" s="3">
        <v>42804</v>
      </c>
      <c r="BS130" s="1" t="s">
        <v>61</v>
      </c>
      <c r="BT130" s="12" t="s">
        <v>60</v>
      </c>
      <c r="BU130" s="1">
        <v>4</v>
      </c>
      <c r="BV130" s="1">
        <v>0</v>
      </c>
      <c r="BW130" s="1">
        <v>11.3</v>
      </c>
      <c r="BX130" s="1">
        <v>0.64600000000000002</v>
      </c>
      <c r="BY130" s="1">
        <v>0.24099999999999999</v>
      </c>
      <c r="BZ130" s="1">
        <v>16.3</v>
      </c>
      <c r="CA130" s="1">
        <v>224</v>
      </c>
      <c r="CB130" s="1">
        <v>1.63</v>
      </c>
      <c r="CC130" s="1">
        <v>14.1</v>
      </c>
      <c r="CD130" s="1">
        <v>5.7</v>
      </c>
      <c r="CE130" s="1">
        <v>1</v>
      </c>
      <c r="CF130" s="3">
        <v>42888</v>
      </c>
      <c r="CG130" s="7">
        <f>CF130-AJ130</f>
        <v>45</v>
      </c>
      <c r="CH130" s="1" t="s">
        <v>994</v>
      </c>
      <c r="CI130" s="12" t="s">
        <v>183</v>
      </c>
      <c r="CJ130" s="1" t="s">
        <v>182</v>
      </c>
      <c r="CK130" s="1" t="s">
        <v>993</v>
      </c>
      <c r="CL130" s="1">
        <v>0</v>
      </c>
      <c r="CM130" s="1">
        <v>0</v>
      </c>
      <c r="CN130" s="28">
        <v>1</v>
      </c>
      <c r="CO130" s="1" t="s">
        <v>650</v>
      </c>
      <c r="CP130" s="1">
        <v>2</v>
      </c>
      <c r="CQ130" s="1" t="s">
        <v>992</v>
      </c>
      <c r="CR130" s="1">
        <v>3.3</v>
      </c>
      <c r="CS130" s="1" t="s">
        <v>991</v>
      </c>
      <c r="CT130" s="1" t="s">
        <v>511</v>
      </c>
      <c r="CU130" s="1" t="s">
        <v>454</v>
      </c>
      <c r="CV130" s="1">
        <v>0</v>
      </c>
      <c r="CW130" s="1">
        <v>11.3</v>
      </c>
      <c r="CX130" s="1">
        <v>16.399999999999999</v>
      </c>
      <c r="CY130" s="1">
        <v>0.3</v>
      </c>
      <c r="CZ130" s="1">
        <v>0</v>
      </c>
      <c r="DA130" s="1">
        <v>59</v>
      </c>
      <c r="DB130" s="2">
        <f>CZ130/DA130*100</f>
        <v>0</v>
      </c>
      <c r="DC130" s="1">
        <v>0</v>
      </c>
      <c r="DD130" s="1">
        <v>0</v>
      </c>
      <c r="DE130" s="1">
        <v>0</v>
      </c>
      <c r="DF130" s="1">
        <v>1</v>
      </c>
      <c r="DG130" s="26" t="s">
        <v>990</v>
      </c>
      <c r="DH130" s="7">
        <v>0</v>
      </c>
      <c r="DI130" s="7">
        <v>0</v>
      </c>
      <c r="DJ130" s="3">
        <v>44146</v>
      </c>
      <c r="DK130" s="1" t="s">
        <v>88</v>
      </c>
      <c r="DL130" s="1">
        <f>(DJ130-I130)/365.25*12</f>
        <v>43.991786447638603</v>
      </c>
      <c r="DM130" s="1">
        <v>1</v>
      </c>
      <c r="DN130" s="1" t="s">
        <v>989</v>
      </c>
      <c r="DO130" s="3">
        <v>43703</v>
      </c>
      <c r="DP130" s="6" t="s">
        <v>988</v>
      </c>
      <c r="DQ130" s="7">
        <v>1</v>
      </c>
      <c r="DR130" s="3">
        <v>43703</v>
      </c>
      <c r="DS130" s="10">
        <f>IF(DQ130=1, (DR130-$I130)/365.25*12, IF(DQ130=0, $DL130, "ERROR"))</f>
        <v>29.437371663244349</v>
      </c>
      <c r="DT130" s="7">
        <v>0</v>
      </c>
      <c r="DU130" s="7">
        <v>0</v>
      </c>
      <c r="DV130" s="7">
        <v>0</v>
      </c>
      <c r="DW130" s="16">
        <f>DU130*(1-DV130)</f>
        <v>0</v>
      </c>
      <c r="DX130" s="16">
        <f>(1-DU130)*DV130</f>
        <v>0</v>
      </c>
      <c r="DY130" s="16">
        <f>DU130*DV130</f>
        <v>0</v>
      </c>
      <c r="DZ130" s="3" t="s">
        <v>45</v>
      </c>
      <c r="EA130" s="10">
        <f>IF(DT130=1, (DZ130-$I130)/365.25*12, IF(DT130=0, $DL130, "ERROR"))</f>
        <v>43.991786447638603</v>
      </c>
      <c r="EB130" s="7">
        <v>0</v>
      </c>
      <c r="EC130" s="7">
        <v>0</v>
      </c>
      <c r="ED130" s="16">
        <f>1-((1-DQ130)*(1-DT130))</f>
        <v>1</v>
      </c>
      <c r="EE130" s="11">
        <f>MIN(DR130,DZ130)</f>
        <v>43703</v>
      </c>
      <c r="EF130" s="1" t="s">
        <v>987</v>
      </c>
      <c r="EG130" s="7">
        <v>1</v>
      </c>
      <c r="EH130" s="1" t="s">
        <v>45</v>
      </c>
      <c r="EI130" s="1">
        <v>1</v>
      </c>
      <c r="EJ130" s="16">
        <f>(1-DQ130)*DX130*(1-EI130)</f>
        <v>0</v>
      </c>
      <c r="EK130" s="3">
        <v>43703</v>
      </c>
      <c r="EL130" s="10">
        <f>IF(EI130=1, (EK130-$I130)/365.25*12, IF(EI130=0, $DL130, "ERROR"))</f>
        <v>29.437371663244349</v>
      </c>
      <c r="EM130" s="1" t="s">
        <v>986</v>
      </c>
      <c r="EN130" s="7">
        <v>0</v>
      </c>
      <c r="EO130" s="7">
        <v>0</v>
      </c>
      <c r="EP130" s="7">
        <v>0</v>
      </c>
      <c r="EQ130" s="7">
        <v>0</v>
      </c>
      <c r="ER130" s="7">
        <v>0</v>
      </c>
      <c r="ES130" s="7">
        <v>0</v>
      </c>
      <c r="ET130" s="7">
        <v>0</v>
      </c>
      <c r="EU130" s="7">
        <v>0</v>
      </c>
      <c r="EV130" s="7">
        <v>1</v>
      </c>
      <c r="EW130" s="1">
        <f>1-((1-EP130)*(1-ET130)*(1-EU130)*(1-EV130))</f>
        <v>1</v>
      </c>
      <c r="EX130" s="7">
        <v>0</v>
      </c>
      <c r="EY130" s="7">
        <v>0</v>
      </c>
      <c r="EZ130" s="7">
        <v>0</v>
      </c>
      <c r="FA130" s="7">
        <v>0</v>
      </c>
      <c r="FB130" s="1" t="s">
        <v>45</v>
      </c>
      <c r="FC130" s="1">
        <v>1</v>
      </c>
      <c r="FD130" s="1">
        <v>1</v>
      </c>
      <c r="FF130" s="3">
        <v>44169</v>
      </c>
      <c r="FG130" s="3">
        <f>IF(FC130=1, FF130, IF(FD130=1, 44348, DJ130))</f>
        <v>44169</v>
      </c>
      <c r="FH130" s="13">
        <f>(FG130-I130)/365.25*12</f>
        <v>44.747433264887064</v>
      </c>
      <c r="FI130" s="20">
        <f>IF(DM130=1, (DO130-I130)/365.25*12, IF(DM130=0, DL130, "ERROR"))</f>
        <v>29.437371663244349</v>
      </c>
      <c r="FJ130" s="14">
        <f>IF(OR(DM130,FC130), 1, 0)</f>
        <v>1</v>
      </c>
      <c r="FK130" s="11">
        <f>IF(DM130=1,IF(FC130=1,MIN(DO130,FF130),DO130),IF(FC130=1,FF130,DJ130))</f>
        <v>43703</v>
      </c>
      <c r="FL130" s="13">
        <f>(FK130-$I130)/365.25*12</f>
        <v>29.437371663244349</v>
      </c>
      <c r="FM130" s="14">
        <f>IF(OR(ED130,FC130), 1, 0)</f>
        <v>1</v>
      </c>
      <c r="FN130" s="11">
        <f>IF(ED130=1,IF(FC130=1,MIN(EE130,FF130),EE130),IF(FC130=1,FF130,DJ130))</f>
        <v>43703</v>
      </c>
      <c r="FO130" s="13">
        <f>(FN130-$I130)/365.25*12</f>
        <v>29.437371663244349</v>
      </c>
      <c r="FP130" s="14">
        <f>IF(OR(EI130,FC130), 1, 0)</f>
        <v>1</v>
      </c>
      <c r="FQ130" s="11">
        <f>IF(EI130=1,IF(FC130=1,MIN(EK130,FF130),EK130),IF(FC130=1,FF130,DJ130))</f>
        <v>43703</v>
      </c>
      <c r="FR130" s="13">
        <f>(FQ130-$I130)/365.25*12</f>
        <v>29.437371663244349</v>
      </c>
      <c r="FU130" s="1">
        <v>0</v>
      </c>
      <c r="FV130" s="1">
        <v>0</v>
      </c>
      <c r="FW130" s="1">
        <v>0</v>
      </c>
      <c r="FX130" s="1">
        <v>0</v>
      </c>
      <c r="GA130" s="1">
        <v>2</v>
      </c>
      <c r="GB130" s="1">
        <v>2</v>
      </c>
      <c r="GC130" s="1">
        <v>765.49599999999998</v>
      </c>
      <c r="GD130" s="1">
        <v>223.12989999999999</v>
      </c>
      <c r="GE130" s="25">
        <v>10</v>
      </c>
      <c r="GF130" s="25">
        <v>10</v>
      </c>
      <c r="GG130" s="1">
        <v>1744.8539000000001</v>
      </c>
      <c r="GH130" s="24">
        <v>289.63990000000001</v>
      </c>
    </row>
    <row r="131" spans="1:190" ht="12.75" customHeight="1">
      <c r="A131" s="1" t="s">
        <v>1105</v>
      </c>
      <c r="B131" s="15" t="s">
        <v>1104</v>
      </c>
      <c r="C131" s="1">
        <v>49323289</v>
      </c>
      <c r="D131" s="1">
        <v>0</v>
      </c>
      <c r="E131" s="1">
        <v>0</v>
      </c>
      <c r="F131" s="1">
        <v>1</v>
      </c>
      <c r="G131" s="12">
        <v>1</v>
      </c>
      <c r="I131" s="3">
        <v>42845</v>
      </c>
      <c r="J131" s="3">
        <v>42824</v>
      </c>
      <c r="K131" s="3">
        <v>18662</v>
      </c>
      <c r="L131" s="5">
        <f>(DAYS360(K131,I131))/365</f>
        <v>65.30684931506849</v>
      </c>
      <c r="M131" s="1" t="s">
        <v>1</v>
      </c>
      <c r="N131" s="1">
        <v>0</v>
      </c>
      <c r="O131" s="1">
        <v>0</v>
      </c>
      <c r="P131" s="1" t="s">
        <v>69</v>
      </c>
      <c r="Q131" s="1">
        <v>1</v>
      </c>
      <c r="R131" s="1" t="s">
        <v>18</v>
      </c>
      <c r="S131" s="1">
        <v>20</v>
      </c>
      <c r="T131" s="1" t="s">
        <v>140</v>
      </c>
      <c r="U131" s="1">
        <v>1</v>
      </c>
      <c r="V131" s="1">
        <v>0</v>
      </c>
      <c r="W131" s="1">
        <v>0</v>
      </c>
      <c r="X131" s="1" t="s">
        <v>117</v>
      </c>
      <c r="Y131" s="1">
        <v>3</v>
      </c>
      <c r="Z131" s="1">
        <v>1</v>
      </c>
      <c r="AA131" s="1" t="s">
        <v>116</v>
      </c>
      <c r="AC131" s="1">
        <v>3</v>
      </c>
      <c r="AD131" s="1" t="s">
        <v>1103</v>
      </c>
      <c r="AE131" s="1" t="s">
        <v>114</v>
      </c>
      <c r="AF131" s="1">
        <v>0</v>
      </c>
      <c r="AG131" s="1">
        <v>0</v>
      </c>
      <c r="AH131" s="1">
        <v>0</v>
      </c>
      <c r="AI131" s="3">
        <v>42845</v>
      </c>
      <c r="AJ131" s="3">
        <v>42884</v>
      </c>
      <c r="AK131" s="6" t="s">
        <v>1102</v>
      </c>
      <c r="AL131" s="6" t="s">
        <v>123</v>
      </c>
      <c r="AM131" s="1">
        <v>1</v>
      </c>
      <c r="AN131" s="1">
        <v>0</v>
      </c>
      <c r="AO131" s="1">
        <v>1</v>
      </c>
      <c r="AP131" s="1">
        <v>0</v>
      </c>
      <c r="AQ131" s="1">
        <v>0</v>
      </c>
      <c r="AR131" s="1">
        <v>0</v>
      </c>
      <c r="AS131" s="12">
        <f>IF(AND(AM131=0,AU131&lt;=2), 1, 0)</f>
        <v>0</v>
      </c>
      <c r="AT131" s="12">
        <v>0</v>
      </c>
      <c r="AU131" s="1">
        <v>3</v>
      </c>
      <c r="AV131" s="1">
        <v>1</v>
      </c>
      <c r="AW131" s="1"/>
      <c r="AX131" s="6" t="s">
        <v>45</v>
      </c>
      <c r="AY131" s="6" t="s">
        <v>45</v>
      </c>
      <c r="AZ131" s="1">
        <v>0.6</v>
      </c>
      <c r="BA131" s="1">
        <f>4.8-0.6+0.3</f>
        <v>4.5</v>
      </c>
      <c r="BB131" s="1">
        <v>231</v>
      </c>
      <c r="BC131" s="1">
        <v>2</v>
      </c>
      <c r="BD131" s="1">
        <v>3.6</v>
      </c>
      <c r="BE131" s="1">
        <v>447</v>
      </c>
      <c r="BF131" s="6" t="s">
        <v>123</v>
      </c>
      <c r="BG131" s="1">
        <v>45</v>
      </c>
      <c r="BH131" s="1">
        <v>45</v>
      </c>
      <c r="BI131" s="1">
        <v>0</v>
      </c>
      <c r="BJ131" s="1">
        <v>0</v>
      </c>
      <c r="BK131" s="1">
        <f>BH131+BI131</f>
        <v>45</v>
      </c>
      <c r="BL131" s="1">
        <v>25</v>
      </c>
      <c r="BM131" s="1">
        <v>1.8</v>
      </c>
      <c r="BN131" s="1" t="s">
        <v>62</v>
      </c>
      <c r="BO131" s="1">
        <v>1</v>
      </c>
      <c r="BP131" s="1">
        <v>1</v>
      </c>
      <c r="BQ131" s="1">
        <v>1</v>
      </c>
      <c r="BR131" s="3">
        <v>42845</v>
      </c>
      <c r="BS131" s="1" t="s">
        <v>61</v>
      </c>
      <c r="BT131" s="12" t="s">
        <v>60</v>
      </c>
      <c r="BU131" s="1">
        <v>5</v>
      </c>
      <c r="BV131" s="1">
        <v>1</v>
      </c>
      <c r="BW131" s="1">
        <v>6.7</v>
      </c>
      <c r="BX131" s="1">
        <v>0.56200000000000006</v>
      </c>
      <c r="BY131" s="1">
        <v>0.33100000000000002</v>
      </c>
      <c r="BZ131" s="1">
        <v>12.9</v>
      </c>
      <c r="CA131" s="1">
        <v>199</v>
      </c>
      <c r="CB131" s="1">
        <v>1.63</v>
      </c>
      <c r="CC131" s="1">
        <v>15.2</v>
      </c>
      <c r="CD131" s="1">
        <v>4</v>
      </c>
      <c r="CE131" s="1">
        <v>1</v>
      </c>
      <c r="CF131" s="3">
        <v>42922</v>
      </c>
      <c r="CG131" s="7">
        <f>CF131-AJ131</f>
        <v>38</v>
      </c>
      <c r="CH131" s="1" t="s">
        <v>1026</v>
      </c>
      <c r="CI131" s="12" t="s">
        <v>183</v>
      </c>
      <c r="CJ131" s="17" t="s">
        <v>182</v>
      </c>
      <c r="CK131" s="1" t="s">
        <v>1056</v>
      </c>
      <c r="CL131" s="1" t="s">
        <v>458</v>
      </c>
      <c r="CM131" s="1">
        <v>0</v>
      </c>
      <c r="CN131" s="12" t="str">
        <f>MID(CK131,4,1)</f>
        <v>2</v>
      </c>
      <c r="CO131" s="1" t="s">
        <v>1004</v>
      </c>
      <c r="CP131" s="1">
        <v>1</v>
      </c>
      <c r="CQ131" s="1" t="s">
        <v>1101</v>
      </c>
      <c r="CR131" s="1">
        <v>2</v>
      </c>
      <c r="CS131" s="1" t="s">
        <v>1014</v>
      </c>
      <c r="CT131" s="1" t="s">
        <v>455</v>
      </c>
      <c r="CU131" s="1" t="s">
        <v>794</v>
      </c>
      <c r="CV131" s="1">
        <v>0</v>
      </c>
      <c r="CW131" s="1">
        <v>0.6</v>
      </c>
      <c r="CX131" s="1">
        <v>16.899999999999999</v>
      </c>
      <c r="CY131" s="1">
        <v>0.03</v>
      </c>
      <c r="CZ131" s="1">
        <v>0</v>
      </c>
      <c r="DA131" s="1">
        <v>93</v>
      </c>
      <c r="DB131" s="2">
        <f>CZ131/DA131*100</f>
        <v>0</v>
      </c>
      <c r="DC131" s="1">
        <v>1</v>
      </c>
      <c r="DD131" s="1">
        <v>0</v>
      </c>
      <c r="DE131" s="1">
        <v>0</v>
      </c>
      <c r="DF131" s="1">
        <v>0</v>
      </c>
      <c r="DG131" s="26" t="s">
        <v>1100</v>
      </c>
      <c r="DH131" s="7">
        <v>0</v>
      </c>
      <c r="DI131" s="7">
        <v>0</v>
      </c>
      <c r="DJ131" s="3">
        <v>43189</v>
      </c>
      <c r="DK131" s="1" t="s">
        <v>88</v>
      </c>
      <c r="DL131" s="12">
        <f>(DJ131-I131)/365.25*12</f>
        <v>11.301848049281315</v>
      </c>
      <c r="DM131" s="1">
        <v>1</v>
      </c>
      <c r="DN131" s="1" t="s">
        <v>1099</v>
      </c>
      <c r="DO131" s="3">
        <v>43166</v>
      </c>
      <c r="DP131" s="6" t="s">
        <v>1098</v>
      </c>
      <c r="DQ131" s="7">
        <v>0</v>
      </c>
      <c r="DR131" s="3" t="s">
        <v>45</v>
      </c>
      <c r="DS131" s="10">
        <f>IF(DQ131=1, (DR131-$I131)/365.25*12, IF(DQ131=0, $DL131, "ERROR"))</f>
        <v>11.301848049281315</v>
      </c>
      <c r="DT131" s="7">
        <v>1</v>
      </c>
      <c r="DU131" s="7">
        <v>1</v>
      </c>
      <c r="DV131" s="7">
        <v>0</v>
      </c>
      <c r="DW131" s="16">
        <f>DU131*(1-DV131)</f>
        <v>1</v>
      </c>
      <c r="DX131" s="16">
        <f>(1-DU131)*DV131</f>
        <v>0</v>
      </c>
      <c r="DY131" s="16">
        <f>DU131*DV131</f>
        <v>0</v>
      </c>
      <c r="DZ131" s="3">
        <v>43166</v>
      </c>
      <c r="EA131" s="10">
        <f>IF(DT131=1, (DZ131-$I131)/365.25*12, IF(DT131=0, $DL131, "ERROR"))</f>
        <v>10.546201232032855</v>
      </c>
      <c r="EB131" s="7">
        <v>1</v>
      </c>
      <c r="EC131" s="7">
        <v>0</v>
      </c>
      <c r="ED131" s="16">
        <f>1-((1-DQ131)*(1-DT131))</f>
        <v>1</v>
      </c>
      <c r="EE131" s="11">
        <f>MIN(DR131,DZ131)</f>
        <v>43166</v>
      </c>
      <c r="EF131" s="1" t="s">
        <v>132</v>
      </c>
      <c r="EG131" s="7" t="s">
        <v>45</v>
      </c>
      <c r="EH131" s="1" t="s">
        <v>45</v>
      </c>
      <c r="EI131" s="1">
        <v>1</v>
      </c>
      <c r="EJ131" s="16">
        <f>(1-DQ131)*DX131*(1-EI131)</f>
        <v>0</v>
      </c>
      <c r="EK131" s="3">
        <v>43166</v>
      </c>
      <c r="EL131" s="10">
        <f>IF(EI131=1, (EK131-$I131)/365.25*12, IF(EI131=0, $DL131, "ERROR"))</f>
        <v>10.546201232032855</v>
      </c>
      <c r="EM131" s="1" t="s">
        <v>1097</v>
      </c>
      <c r="EN131" s="7">
        <v>0</v>
      </c>
      <c r="EO131" s="7">
        <v>1</v>
      </c>
      <c r="EP131" s="7">
        <v>0</v>
      </c>
      <c r="EQ131" s="7">
        <v>0</v>
      </c>
      <c r="ER131" s="7">
        <v>0</v>
      </c>
      <c r="ES131" s="7">
        <v>0</v>
      </c>
      <c r="ET131" s="7">
        <v>0</v>
      </c>
      <c r="EU131" s="7">
        <v>0</v>
      </c>
      <c r="EV131" s="7">
        <v>0</v>
      </c>
      <c r="EW131" s="1">
        <f>1-((1-EP131)*(1-ET131)*(1-EU131)*(1-EV131))</f>
        <v>0</v>
      </c>
      <c r="EX131" s="7">
        <v>0</v>
      </c>
      <c r="EY131" s="7">
        <v>0</v>
      </c>
      <c r="EZ131" s="7">
        <v>0</v>
      </c>
      <c r="FA131" s="7">
        <v>0</v>
      </c>
      <c r="FB131" s="1" t="s">
        <v>45</v>
      </c>
      <c r="FC131" s="1">
        <v>1</v>
      </c>
      <c r="FD131" s="1">
        <v>1</v>
      </c>
      <c r="FF131" s="3">
        <v>43190</v>
      </c>
      <c r="FG131" s="3">
        <f>IF(FC131=1, FF131, IF(FD131=1, 44348, DJ131))</f>
        <v>43190</v>
      </c>
      <c r="FH131" s="13">
        <f>(FG131-I131)/365.25*12</f>
        <v>11.3347022587269</v>
      </c>
      <c r="FI131" s="20">
        <f>IF(DM131=1, (DO131-I131)/365.25*12, IF(DM131=0, DL131, "ERROR"))</f>
        <v>10.546201232032855</v>
      </c>
      <c r="FJ131" s="14">
        <f>IF(OR(DM131,FC131), 1, 0)</f>
        <v>1</v>
      </c>
      <c r="FK131" s="11">
        <f>IF(DM131=1,IF(FC131=1,MIN(DO131,FF131),DO131),IF(FC131=1,FF131,DJ131))</f>
        <v>43166</v>
      </c>
      <c r="FL131" s="13">
        <f>(FK131-$I131)/365.25*12</f>
        <v>10.546201232032855</v>
      </c>
      <c r="FM131" s="14">
        <f>IF(OR(ED131,FC131), 1, 0)</f>
        <v>1</v>
      </c>
      <c r="FN131" s="11">
        <f>IF(ED131=1,IF(FC131=1,MIN(EE131,FF131),EE131),IF(FC131=1,FF131,DJ131))</f>
        <v>43166</v>
      </c>
      <c r="FO131" s="13">
        <f>(FN131-$I131)/365.25*12</f>
        <v>10.546201232032855</v>
      </c>
      <c r="FP131" s="14">
        <f>IF(OR(EI131,FC131), 1, 0)</f>
        <v>1</v>
      </c>
      <c r="FQ131" s="11">
        <f>IF(EI131=1,IF(FC131=1,MIN(EK131,FF131),EK131),IF(FC131=1,FF131,DJ131))</f>
        <v>43166</v>
      </c>
      <c r="FR131" s="13">
        <f>(FQ131-$I131)/365.25*12</f>
        <v>10.546201232032855</v>
      </c>
      <c r="FU131" s="1">
        <v>0</v>
      </c>
      <c r="FV131" s="1">
        <v>0</v>
      </c>
      <c r="FW131" s="1">
        <v>0</v>
      </c>
      <c r="FX131" s="1">
        <v>0</v>
      </c>
      <c r="GA131" s="1">
        <v>3</v>
      </c>
      <c r="GB131" s="1">
        <v>1</v>
      </c>
      <c r="GC131" s="1">
        <v>67.662800000000004</v>
      </c>
      <c r="GD131" s="1">
        <v>17.808</v>
      </c>
      <c r="GE131" s="25">
        <v>0.5</v>
      </c>
      <c r="GF131" s="25">
        <v>0</v>
      </c>
      <c r="GG131" s="1">
        <v>102.4041</v>
      </c>
      <c r="GH131" s="24">
        <v>52.488999999999997</v>
      </c>
    </row>
    <row r="132" spans="1:190" ht="12.75" customHeight="1">
      <c r="A132" s="1" t="s">
        <v>1096</v>
      </c>
      <c r="B132" s="15" t="s">
        <v>1095</v>
      </c>
      <c r="C132" s="1">
        <v>49344356</v>
      </c>
      <c r="D132" s="1">
        <v>0</v>
      </c>
      <c r="E132" s="1">
        <v>0</v>
      </c>
      <c r="F132" s="1">
        <v>1</v>
      </c>
      <c r="G132" s="12">
        <v>1</v>
      </c>
      <c r="I132" s="3">
        <v>42852</v>
      </c>
      <c r="J132" s="3">
        <v>42830</v>
      </c>
      <c r="K132" s="3">
        <v>21191</v>
      </c>
      <c r="L132" s="5">
        <f>(DAYS360(K132,I132))/365</f>
        <v>58.495890410958907</v>
      </c>
      <c r="M132" s="1" t="s">
        <v>5</v>
      </c>
      <c r="N132" s="1">
        <v>0</v>
      </c>
      <c r="O132" s="1">
        <v>0</v>
      </c>
      <c r="P132" s="1" t="s">
        <v>69</v>
      </c>
      <c r="Q132" s="1">
        <v>1</v>
      </c>
      <c r="R132" s="1" t="s">
        <v>18</v>
      </c>
      <c r="S132" s="1" t="s">
        <v>1094</v>
      </c>
      <c r="T132" s="1" t="s">
        <v>140</v>
      </c>
      <c r="U132" s="1">
        <v>1</v>
      </c>
      <c r="V132" s="1">
        <v>0</v>
      </c>
      <c r="W132" s="1">
        <v>0</v>
      </c>
      <c r="X132" s="1" t="s">
        <v>117</v>
      </c>
      <c r="Y132" s="1">
        <v>3</v>
      </c>
      <c r="Z132" s="1">
        <v>1</v>
      </c>
      <c r="AA132" s="1" t="s">
        <v>116</v>
      </c>
      <c r="AC132" s="1">
        <v>3</v>
      </c>
      <c r="AD132" s="1" t="s">
        <v>1093</v>
      </c>
      <c r="AE132" s="1" t="s">
        <v>114</v>
      </c>
      <c r="AF132" s="1">
        <v>0</v>
      </c>
      <c r="AG132" s="1">
        <v>0</v>
      </c>
      <c r="AH132" s="1">
        <v>0</v>
      </c>
      <c r="AI132" s="3">
        <v>42852</v>
      </c>
      <c r="AJ132" s="3">
        <v>42891</v>
      </c>
      <c r="AK132" s="6" t="s">
        <v>1092</v>
      </c>
      <c r="AL132" s="6" t="s">
        <v>123</v>
      </c>
      <c r="AM132" s="1">
        <v>1</v>
      </c>
      <c r="AN132" s="1">
        <v>0</v>
      </c>
      <c r="AO132" s="1">
        <v>1</v>
      </c>
      <c r="AP132" s="1">
        <v>0</v>
      </c>
      <c r="AQ132" s="1">
        <v>0</v>
      </c>
      <c r="AR132" s="1">
        <v>0</v>
      </c>
      <c r="AS132" s="12">
        <f>IF(AND(AM132=0,AU132&lt;=2), 1, 0)</f>
        <v>0</v>
      </c>
      <c r="AT132" s="12">
        <v>1</v>
      </c>
      <c r="AU132" s="1">
        <v>2</v>
      </c>
      <c r="AV132" s="1">
        <v>0.5</v>
      </c>
      <c r="AW132" s="1"/>
      <c r="AX132" s="6" t="s">
        <v>45</v>
      </c>
      <c r="AY132" s="6" t="s">
        <v>45</v>
      </c>
      <c r="AZ132" s="1">
        <v>0.7</v>
      </c>
      <c r="BA132" s="1">
        <v>8.1</v>
      </c>
      <c r="BB132" s="1">
        <v>196.6</v>
      </c>
      <c r="BC132" s="1">
        <v>2</v>
      </c>
      <c r="BD132" s="1">
        <v>2</v>
      </c>
      <c r="BE132" s="1">
        <v>412.1</v>
      </c>
      <c r="BF132" s="6" t="s">
        <v>123</v>
      </c>
      <c r="BG132" s="1">
        <v>45</v>
      </c>
      <c r="BH132" s="1">
        <v>45</v>
      </c>
      <c r="BI132" s="1">
        <v>0</v>
      </c>
      <c r="BJ132" s="1">
        <v>0</v>
      </c>
      <c r="BK132" s="1">
        <f>BH132+BI132</f>
        <v>45</v>
      </c>
      <c r="BL132" s="1">
        <v>25</v>
      </c>
      <c r="BM132" s="1">
        <v>1.8</v>
      </c>
      <c r="BN132" s="1" t="s">
        <v>110</v>
      </c>
      <c r="BO132" s="1">
        <v>0</v>
      </c>
      <c r="BP132" s="1">
        <v>1</v>
      </c>
      <c r="BQ132" s="1">
        <v>1</v>
      </c>
      <c r="BR132" s="3">
        <v>42852</v>
      </c>
      <c r="BS132" s="1" t="s">
        <v>61</v>
      </c>
      <c r="BT132" s="12" t="s">
        <v>60</v>
      </c>
      <c r="BU132" s="1">
        <v>5</v>
      </c>
      <c r="BV132" s="1">
        <v>1</v>
      </c>
      <c r="BW132" s="1">
        <v>8.3699999999999992</v>
      </c>
      <c r="BX132" s="1">
        <v>0.628</v>
      </c>
      <c r="BY132" s="1">
        <v>0.27800000000000002</v>
      </c>
      <c r="BZ132" s="1">
        <v>14.6</v>
      </c>
      <c r="CA132" s="1">
        <v>207</v>
      </c>
      <c r="CB132" s="1" t="s">
        <v>45</v>
      </c>
      <c r="CC132" s="1">
        <v>15.5</v>
      </c>
      <c r="CD132" s="1">
        <v>8.3000000000000007</v>
      </c>
      <c r="CE132" s="1">
        <v>1</v>
      </c>
      <c r="CF132" s="3">
        <v>42934</v>
      </c>
      <c r="CG132" s="7">
        <f>CF132-AJ132</f>
        <v>43</v>
      </c>
      <c r="CH132" s="1" t="s">
        <v>1057</v>
      </c>
      <c r="CI132" s="12" t="s">
        <v>183</v>
      </c>
      <c r="CJ132" s="17" t="s">
        <v>182</v>
      </c>
      <c r="CK132" s="1" t="s">
        <v>1072</v>
      </c>
      <c r="CL132" s="1" t="s">
        <v>96</v>
      </c>
      <c r="CM132" s="1">
        <v>0</v>
      </c>
      <c r="CN132" s="12" t="str">
        <f>MID(CK132,4,1)</f>
        <v>2</v>
      </c>
      <c r="CO132" s="1" t="s">
        <v>1091</v>
      </c>
      <c r="CP132" s="1">
        <v>3</v>
      </c>
      <c r="CQ132" s="1" t="s">
        <v>1090</v>
      </c>
      <c r="CR132" s="1">
        <v>1.3</v>
      </c>
      <c r="CS132" s="1" t="s">
        <v>1014</v>
      </c>
      <c r="CT132" s="1" t="s">
        <v>455</v>
      </c>
      <c r="CU132" s="1" t="s">
        <v>454</v>
      </c>
      <c r="CV132" s="1">
        <v>0</v>
      </c>
      <c r="CW132" s="1">
        <v>2</v>
      </c>
      <c r="CX132" s="1" t="s">
        <v>45</v>
      </c>
      <c r="CY132" s="1">
        <v>0.2</v>
      </c>
      <c r="CZ132" s="1">
        <v>2</v>
      </c>
      <c r="DA132" s="1">
        <v>54</v>
      </c>
      <c r="DB132" s="2">
        <f>CZ132/DA132*100</f>
        <v>3.7037037037037033</v>
      </c>
      <c r="DC132" s="1">
        <v>1</v>
      </c>
      <c r="DD132" s="1">
        <v>0</v>
      </c>
      <c r="DE132" s="1">
        <v>1</v>
      </c>
      <c r="DF132" s="1">
        <v>1</v>
      </c>
      <c r="DG132" s="26" t="s">
        <v>1089</v>
      </c>
      <c r="DH132" s="7">
        <v>0</v>
      </c>
      <c r="DI132" s="7">
        <v>1</v>
      </c>
      <c r="DJ132" s="3">
        <v>43047</v>
      </c>
      <c r="DK132" s="1" t="s">
        <v>1088</v>
      </c>
      <c r="DL132" s="12">
        <f>(DJ132-I132)/365.25*12</f>
        <v>6.406570841889117</v>
      </c>
      <c r="DM132" s="1">
        <v>1</v>
      </c>
      <c r="DN132" s="1" t="s">
        <v>1087</v>
      </c>
      <c r="DO132" s="3">
        <v>42977</v>
      </c>
      <c r="DP132" s="6" t="s">
        <v>145</v>
      </c>
      <c r="DQ132" s="7">
        <v>1</v>
      </c>
      <c r="DR132" s="3">
        <v>43033</v>
      </c>
      <c r="DS132" s="10">
        <f>IF(DQ132=1, (DR132-$I132)/365.25*12, IF(DQ132=0, $DL132, "ERROR"))</f>
        <v>5.9466119096509242</v>
      </c>
      <c r="DT132" s="7">
        <v>1</v>
      </c>
      <c r="DU132" s="7">
        <v>1</v>
      </c>
      <c r="DV132" s="7">
        <v>1</v>
      </c>
      <c r="DW132" s="16">
        <f>DU132*(1-DV132)</f>
        <v>0</v>
      </c>
      <c r="DX132" s="16">
        <f>(1-DU132)*DV132</f>
        <v>0</v>
      </c>
      <c r="DY132" s="16">
        <f>DU132*DV132</f>
        <v>1</v>
      </c>
      <c r="DZ132" s="3">
        <v>43033</v>
      </c>
      <c r="EA132" s="10">
        <f>IF(DT132=1, (DZ132-$I132)/365.25*12, IF(DT132=0, $DL132, "ERROR"))</f>
        <v>5.9466119096509242</v>
      </c>
      <c r="EB132" s="7">
        <v>1</v>
      </c>
      <c r="EC132" s="7">
        <v>0</v>
      </c>
      <c r="ED132" s="16">
        <f>1-((1-DQ132)*(1-DT132))</f>
        <v>1</v>
      </c>
      <c r="EE132" s="11">
        <f>MIN(DR132,DZ132)</f>
        <v>43033</v>
      </c>
      <c r="EF132" s="1" t="s">
        <v>45</v>
      </c>
      <c r="EG132" s="7" t="s">
        <v>45</v>
      </c>
      <c r="EH132" s="1" t="s">
        <v>45</v>
      </c>
      <c r="EI132" s="1">
        <v>1</v>
      </c>
      <c r="EJ132" s="16">
        <f>(1-DQ132)*DX132*(1-EI132)</f>
        <v>0</v>
      </c>
      <c r="EK132" s="3">
        <v>42977</v>
      </c>
      <c r="EL132" s="10">
        <f>IF(EI132=1, (EK132-$I132)/365.25*12, IF(EI132=0, $DL132, "ERROR"))</f>
        <v>4.1067761806981515</v>
      </c>
      <c r="EM132" s="1" t="s">
        <v>1086</v>
      </c>
      <c r="EN132" s="7">
        <v>0</v>
      </c>
      <c r="EO132" s="7">
        <v>1</v>
      </c>
      <c r="EP132" s="7">
        <v>0</v>
      </c>
      <c r="EQ132" s="7">
        <v>0</v>
      </c>
      <c r="ER132" s="7">
        <v>0</v>
      </c>
      <c r="ES132" s="7">
        <v>1</v>
      </c>
      <c r="ET132" s="7">
        <v>0</v>
      </c>
      <c r="EU132" s="7">
        <v>0</v>
      </c>
      <c r="EV132" s="7">
        <v>0</v>
      </c>
      <c r="EW132" s="1">
        <f>1-((1-EP132)*(1-ET132)*(1-EU132)*(1-EV132))</f>
        <v>0</v>
      </c>
      <c r="EX132" s="7">
        <v>1</v>
      </c>
      <c r="EY132" s="7">
        <v>0</v>
      </c>
      <c r="EZ132" s="7">
        <v>0</v>
      </c>
      <c r="FA132" s="7">
        <v>0</v>
      </c>
      <c r="FC132" s="1">
        <v>1</v>
      </c>
      <c r="FD132" s="1">
        <v>1</v>
      </c>
      <c r="FF132" s="3">
        <v>43080</v>
      </c>
      <c r="FG132" s="3">
        <f>IF(FC132=1, FF132, IF(FD132=1, 44348, DJ132))</f>
        <v>43080</v>
      </c>
      <c r="FH132" s="13">
        <f>(FG132-I132)/365.25*12</f>
        <v>7.49075975359343</v>
      </c>
      <c r="FI132" s="20">
        <f>IF(DM132=1, (DO132-I132)/365.25*12, IF(DM132=0, DL132, "ERROR"))</f>
        <v>4.1067761806981515</v>
      </c>
      <c r="FJ132" s="14">
        <f>IF(OR(DM132,FC132), 1, 0)</f>
        <v>1</v>
      </c>
      <c r="FK132" s="11">
        <f>IF(DM132=1,IF(FC132=1,MIN(DO132,FF132),DO132),IF(FC132=1,FF132,DJ132))</f>
        <v>42977</v>
      </c>
      <c r="FL132" s="13">
        <f>(FK132-$I132)/365.25*12</f>
        <v>4.1067761806981515</v>
      </c>
      <c r="FM132" s="14">
        <f>IF(OR(ED132,FC132), 1, 0)</f>
        <v>1</v>
      </c>
      <c r="FN132" s="11">
        <f>IF(ED132=1,IF(FC132=1,MIN(EE132,FF132),EE132),IF(FC132=1,FF132,DJ132))</f>
        <v>43033</v>
      </c>
      <c r="FO132" s="13">
        <f>(FN132-$I132)/365.25*12</f>
        <v>5.9466119096509242</v>
      </c>
      <c r="FP132" s="14">
        <f>IF(OR(EI132,FC132), 1, 0)</f>
        <v>1</v>
      </c>
      <c r="FQ132" s="11">
        <f>IF(EI132=1,IF(FC132=1,MIN(EK132,FF132),EK132),IF(FC132=1,FF132,DJ132))</f>
        <v>42977</v>
      </c>
      <c r="FR132" s="13">
        <f>(FQ132-$I132)/365.25*12</f>
        <v>4.1067761806981515</v>
      </c>
      <c r="FU132" s="1">
        <v>0</v>
      </c>
      <c r="FV132" s="1">
        <v>0</v>
      </c>
      <c r="FW132" s="1">
        <v>0</v>
      </c>
      <c r="FX132" s="1">
        <v>0</v>
      </c>
      <c r="GA132" s="1">
        <v>7</v>
      </c>
      <c r="GB132" s="1">
        <v>5</v>
      </c>
      <c r="GC132" s="1">
        <v>437.99180000000001</v>
      </c>
      <c r="GD132" s="1">
        <v>116.5466</v>
      </c>
      <c r="GE132" s="25">
        <v>0.5</v>
      </c>
      <c r="GF132" s="25">
        <v>0</v>
      </c>
      <c r="GG132" s="1">
        <v>155.98929999999999</v>
      </c>
      <c r="GH132" s="24">
        <v>239.19890000000001</v>
      </c>
    </row>
    <row r="133" spans="1:190" ht="12.75" customHeight="1">
      <c r="A133" s="1" t="s">
        <v>1078</v>
      </c>
      <c r="B133" s="15" t="s">
        <v>1077</v>
      </c>
      <c r="C133" s="1">
        <v>49414938</v>
      </c>
      <c r="D133" s="1">
        <v>0</v>
      </c>
      <c r="E133" s="1">
        <v>0</v>
      </c>
      <c r="F133" s="1">
        <v>1</v>
      </c>
      <c r="G133" s="12">
        <v>1</v>
      </c>
      <c r="I133" s="3">
        <v>42877</v>
      </c>
      <c r="J133" s="3">
        <v>42850</v>
      </c>
      <c r="K133" s="3">
        <v>16791</v>
      </c>
      <c r="L133" s="5">
        <f>(DAYS360(K133,I133))/365</f>
        <v>70.443835616438349</v>
      </c>
      <c r="M133" s="1" t="s">
        <v>5</v>
      </c>
      <c r="N133" s="1">
        <v>0</v>
      </c>
      <c r="O133" s="1">
        <v>0</v>
      </c>
      <c r="P133" s="1" t="s">
        <v>69</v>
      </c>
      <c r="Q133" s="1">
        <v>1</v>
      </c>
      <c r="R133" s="1" t="s">
        <v>18</v>
      </c>
      <c r="S133" s="1" t="s">
        <v>1076</v>
      </c>
      <c r="T133" s="1" t="s">
        <v>67</v>
      </c>
      <c r="U133" s="1">
        <v>0</v>
      </c>
      <c r="V133" s="1">
        <v>0</v>
      </c>
      <c r="W133" s="1">
        <v>1</v>
      </c>
      <c r="X133" s="1" t="s">
        <v>117</v>
      </c>
      <c r="Y133" s="1">
        <v>3</v>
      </c>
      <c r="Z133" s="1">
        <v>1</v>
      </c>
      <c r="AA133" s="1" t="s">
        <v>116</v>
      </c>
      <c r="AC133" s="1">
        <v>3</v>
      </c>
      <c r="AD133" s="1" t="s">
        <v>126</v>
      </c>
      <c r="AE133" s="1" t="s">
        <v>125</v>
      </c>
      <c r="AF133" s="1">
        <v>0</v>
      </c>
      <c r="AG133" s="1">
        <v>0</v>
      </c>
      <c r="AH133" s="1">
        <v>0</v>
      </c>
      <c r="AI133" s="3">
        <v>42877</v>
      </c>
      <c r="AJ133" s="3">
        <v>42914</v>
      </c>
      <c r="AK133" s="29" t="s">
        <v>1075</v>
      </c>
      <c r="AL133" s="6" t="s">
        <v>1074</v>
      </c>
      <c r="AM133" s="1">
        <v>0</v>
      </c>
      <c r="AN133" s="1">
        <v>0</v>
      </c>
      <c r="AO133" s="1">
        <v>0</v>
      </c>
      <c r="AP133" s="1">
        <v>0</v>
      </c>
      <c r="AQ133" s="1">
        <v>0</v>
      </c>
      <c r="AR133" s="1">
        <v>0</v>
      </c>
      <c r="AS133" s="12">
        <f>IF(AND(AM133=0,AU133&lt;=2), 1, 0)</f>
        <v>0</v>
      </c>
      <c r="AT133" s="12">
        <v>0</v>
      </c>
      <c r="AU133" s="1">
        <v>3</v>
      </c>
      <c r="AV133" s="1">
        <v>0.5</v>
      </c>
      <c r="AW133" s="1"/>
      <c r="AX133" s="6" t="s">
        <v>45</v>
      </c>
      <c r="AY133" s="6" t="s">
        <v>45</v>
      </c>
      <c r="AZ133" s="1">
        <v>0.6</v>
      </c>
      <c r="BA133" s="1">
        <v>3.9</v>
      </c>
      <c r="BB133" s="1">
        <v>184.8</v>
      </c>
      <c r="BC133" s="1">
        <v>3.3</v>
      </c>
      <c r="BD133" s="1">
        <v>2.4</v>
      </c>
      <c r="BE133" s="1">
        <v>356</v>
      </c>
      <c r="BF133" s="6" t="s">
        <v>1074</v>
      </c>
      <c r="BG133" s="1">
        <v>45</v>
      </c>
      <c r="BH133" s="1">
        <v>45</v>
      </c>
      <c r="BI133" s="1">
        <v>0</v>
      </c>
      <c r="BJ133" s="1">
        <v>0</v>
      </c>
      <c r="BK133" s="1">
        <f>BH133+BI133</f>
        <v>45</v>
      </c>
      <c r="BL133" s="1">
        <v>25</v>
      </c>
      <c r="BM133" s="1">
        <v>1.8</v>
      </c>
      <c r="BN133" s="1" t="s">
        <v>110</v>
      </c>
      <c r="BO133" s="1">
        <v>0</v>
      </c>
      <c r="BP133" s="1">
        <v>1</v>
      </c>
      <c r="BQ133" s="1">
        <v>1</v>
      </c>
      <c r="BR133" s="3">
        <v>42877</v>
      </c>
      <c r="BS133" s="1" t="s">
        <v>61</v>
      </c>
      <c r="BT133" s="12" t="s">
        <v>60</v>
      </c>
      <c r="BU133" s="1">
        <v>5</v>
      </c>
      <c r="BV133" s="1">
        <v>1</v>
      </c>
      <c r="BW133" s="1">
        <v>5.6</v>
      </c>
      <c r="BX133" s="1">
        <v>0.56999999999999995</v>
      </c>
      <c r="BY133" s="1">
        <v>0.32600000000000001</v>
      </c>
      <c r="BZ133" s="1">
        <v>13.9</v>
      </c>
      <c r="CA133" s="1">
        <v>184</v>
      </c>
      <c r="CB133" s="1">
        <v>1.7</v>
      </c>
      <c r="CC133" s="1">
        <v>16.7</v>
      </c>
      <c r="CD133" s="1">
        <v>10.5</v>
      </c>
      <c r="CE133" s="1">
        <v>1</v>
      </c>
      <c r="CF133" s="3">
        <v>42965</v>
      </c>
      <c r="CG133" s="7">
        <f>CF133-AJ133</f>
        <v>51</v>
      </c>
      <c r="CH133" s="1" t="s">
        <v>1073</v>
      </c>
      <c r="CI133" s="12" t="s">
        <v>183</v>
      </c>
      <c r="CJ133" s="17" t="s">
        <v>182</v>
      </c>
      <c r="CK133" s="1" t="s">
        <v>1072</v>
      </c>
      <c r="CL133" s="1" t="s">
        <v>96</v>
      </c>
      <c r="CM133" s="1">
        <v>0</v>
      </c>
      <c r="CN133" s="12" t="str">
        <f>MID(CK133,4,1)</f>
        <v>2</v>
      </c>
      <c r="CO133" s="1" t="s">
        <v>1004</v>
      </c>
      <c r="CP133" s="1">
        <v>1</v>
      </c>
      <c r="CQ133" s="1" t="s">
        <v>1071</v>
      </c>
      <c r="CR133" s="1">
        <v>0.7</v>
      </c>
      <c r="CS133" s="1" t="s">
        <v>1014</v>
      </c>
      <c r="CT133" s="1" t="s">
        <v>473</v>
      </c>
      <c r="CU133" s="1" t="s">
        <v>472</v>
      </c>
      <c r="CV133" s="1">
        <v>0</v>
      </c>
      <c r="CW133" s="1">
        <v>9.1</v>
      </c>
      <c r="CX133" s="1">
        <v>4.9000000000000004</v>
      </c>
      <c r="CY133" s="1">
        <v>0.1</v>
      </c>
      <c r="CZ133" s="1">
        <v>1</v>
      </c>
      <c r="DA133" s="1">
        <v>59</v>
      </c>
      <c r="DB133" s="2">
        <f>CZ133/DA133*100</f>
        <v>1.6949152542372881</v>
      </c>
      <c r="DC133" s="1">
        <v>0</v>
      </c>
      <c r="DD133" s="1">
        <v>0</v>
      </c>
      <c r="DE133" s="1">
        <v>0</v>
      </c>
      <c r="DF133" s="1">
        <v>0</v>
      </c>
      <c r="DG133" s="26" t="s">
        <v>1070</v>
      </c>
      <c r="DH133" s="7">
        <v>0</v>
      </c>
      <c r="DI133" s="7">
        <v>1</v>
      </c>
      <c r="DJ133" s="3">
        <v>43108</v>
      </c>
      <c r="DK133" s="1" t="s">
        <v>132</v>
      </c>
      <c r="DL133" s="12">
        <f>(DJ133-I133)/365.25*12</f>
        <v>7.5893223819301854</v>
      </c>
      <c r="DM133" s="1">
        <v>1</v>
      </c>
      <c r="DN133" s="1" t="s">
        <v>1069</v>
      </c>
      <c r="DO133" s="3">
        <v>43068</v>
      </c>
      <c r="DP133" s="6" t="s">
        <v>133</v>
      </c>
      <c r="DQ133" s="7">
        <v>0</v>
      </c>
      <c r="DR133" s="3" t="s">
        <v>45</v>
      </c>
      <c r="DS133" s="10">
        <f>IF(DQ133=1, (DR133-$I133)/365.25*12, IF(DQ133=0, $DL133, "ERROR"))</f>
        <v>7.5893223819301854</v>
      </c>
      <c r="DT133" s="7">
        <v>0</v>
      </c>
      <c r="DU133" s="7">
        <v>0</v>
      </c>
      <c r="DV133" s="7">
        <v>0</v>
      </c>
      <c r="DW133" s="16">
        <f>DU133*(1-DV133)</f>
        <v>0</v>
      </c>
      <c r="DX133" s="16">
        <f>(1-DU133)*DV133</f>
        <v>0</v>
      </c>
      <c r="DY133" s="16">
        <f>DU133*DV133</f>
        <v>0</v>
      </c>
      <c r="DZ133" s="3" t="s">
        <v>45</v>
      </c>
      <c r="EA133" s="10">
        <f>IF(DT133=1, (DZ133-$I133)/365.25*12, IF(DT133=0, $DL133, "ERROR"))</f>
        <v>7.5893223819301854</v>
      </c>
      <c r="EB133" s="7">
        <v>0</v>
      </c>
      <c r="EC133" s="7">
        <v>0</v>
      </c>
      <c r="ED133" s="16">
        <f>1-((1-DQ133)*(1-DT133))</f>
        <v>0</v>
      </c>
      <c r="EE133" s="11" t="s">
        <v>45</v>
      </c>
      <c r="EF133" s="1" t="s">
        <v>132</v>
      </c>
      <c r="EG133" s="7" t="s">
        <v>45</v>
      </c>
      <c r="EH133" s="1" t="s">
        <v>45</v>
      </c>
      <c r="EI133" s="1">
        <v>1</v>
      </c>
      <c r="EJ133" s="16">
        <f>(1-DQ133)*DX133*(1-EI133)</f>
        <v>0</v>
      </c>
      <c r="EK133" s="3">
        <v>43068</v>
      </c>
      <c r="EL133" s="10">
        <f>IF(EI133=1, (EK133-$I133)/365.25*12, IF(EI133=0, $DL133, "ERROR"))</f>
        <v>6.2751540041067768</v>
      </c>
      <c r="EM133" s="1" t="s">
        <v>1069</v>
      </c>
      <c r="EN133" s="7">
        <v>1</v>
      </c>
      <c r="EO133" s="7">
        <v>0</v>
      </c>
      <c r="EP133" s="7">
        <v>0</v>
      </c>
      <c r="EQ133" s="7">
        <v>1</v>
      </c>
      <c r="ER133" s="7">
        <v>1</v>
      </c>
      <c r="ES133" s="7">
        <v>0</v>
      </c>
      <c r="ET133" s="7">
        <v>0</v>
      </c>
      <c r="EU133" s="7">
        <v>0</v>
      </c>
      <c r="EV133" s="7">
        <v>0</v>
      </c>
      <c r="EW133" s="1">
        <f>1-((1-EP133)*(1-ET133)*(1-EU133)*(1-EV133))</f>
        <v>0</v>
      </c>
      <c r="EX133" s="7">
        <v>0</v>
      </c>
      <c r="EY133" s="7">
        <v>0</v>
      </c>
      <c r="EZ133" s="7">
        <v>0</v>
      </c>
      <c r="FA133" s="7">
        <v>0</v>
      </c>
      <c r="FB133" s="1" t="s">
        <v>45</v>
      </c>
      <c r="FC133" s="1">
        <v>1</v>
      </c>
      <c r="FD133" s="1">
        <v>1</v>
      </c>
      <c r="FF133" s="3">
        <v>43132</v>
      </c>
      <c r="FG133" s="3">
        <f>IF(FC133=1, FF133, IF(FD133=1, 44348, DJ133))</f>
        <v>43132</v>
      </c>
      <c r="FH133" s="13">
        <f>(FG133-I133)/365.25*12</f>
        <v>8.3778234086242307</v>
      </c>
      <c r="FI133" s="20">
        <f>IF(DM133=1, (DO133-I133)/365.25*12, IF(DM133=0, DL133, "ERROR"))</f>
        <v>6.2751540041067768</v>
      </c>
      <c r="FJ133" s="14">
        <f>IF(OR(DM133,FC133), 1, 0)</f>
        <v>1</v>
      </c>
      <c r="FK133" s="11">
        <f>IF(DM133=1,IF(FC133=1,MIN(DO133,FF133),DO133),IF(FC133=1,FF133,DJ133))</f>
        <v>43068</v>
      </c>
      <c r="FL133" s="13">
        <f>(FK133-$I133)/365.25*12</f>
        <v>6.2751540041067768</v>
      </c>
      <c r="FM133" s="14">
        <f>IF(OR(ED133,FC133), 1, 0)</f>
        <v>1</v>
      </c>
      <c r="FN133" s="11">
        <f>IF(ED133=1,IF(FC133=1,MIN(EE133,FF133),EE133),IF(FC133=1,FF133,DJ133))</f>
        <v>43132</v>
      </c>
      <c r="FO133" s="13">
        <f>(FN133-$I133)/365.25*12</f>
        <v>8.3778234086242307</v>
      </c>
      <c r="FP133" s="14">
        <f>IF(OR(EI133,FC133), 1, 0)</f>
        <v>1</v>
      </c>
      <c r="FQ133" s="11">
        <f>IF(EI133=1,IF(FC133=1,MIN(EK133,FF133),EK133),IF(FC133=1,FF133,DJ133))</f>
        <v>43068</v>
      </c>
      <c r="FR133" s="13">
        <f>(FQ133-$I133)/365.25*12</f>
        <v>6.2751540041067768</v>
      </c>
      <c r="FU133" s="1">
        <v>0</v>
      </c>
      <c r="FV133" s="1">
        <v>0</v>
      </c>
      <c r="FW133" s="1">
        <v>0</v>
      </c>
      <c r="FX133" s="1">
        <v>0</v>
      </c>
      <c r="GA133" s="1">
        <v>12</v>
      </c>
      <c r="GB133" s="1">
        <v>12</v>
      </c>
      <c r="GC133" s="1">
        <v>557.80849999999998</v>
      </c>
      <c r="GD133" s="1">
        <v>120.5266</v>
      </c>
      <c r="GE133" s="25">
        <v>10</v>
      </c>
      <c r="GF133" s="25">
        <v>10</v>
      </c>
      <c r="GG133" s="1">
        <v>1212.627</v>
      </c>
      <c r="GH133" s="24">
        <v>929.0222</v>
      </c>
    </row>
    <row r="134" spans="1:190" ht="12.75" customHeight="1">
      <c r="A134" s="1" t="s">
        <v>1051</v>
      </c>
      <c r="B134" s="15" t="s">
        <v>1050</v>
      </c>
      <c r="C134" s="1">
        <v>49559545</v>
      </c>
      <c r="D134" s="1">
        <v>0</v>
      </c>
      <c r="E134" s="1">
        <v>0</v>
      </c>
      <c r="F134" s="1">
        <v>1</v>
      </c>
      <c r="G134" s="12">
        <v>1</v>
      </c>
      <c r="I134" s="3">
        <v>42947</v>
      </c>
      <c r="J134" s="3">
        <v>42919</v>
      </c>
      <c r="K134" s="3">
        <v>17177</v>
      </c>
      <c r="L134" s="5">
        <f>(DAYS360(K134,I134))/365</f>
        <v>69.591780821917808</v>
      </c>
      <c r="M134" s="1" t="s">
        <v>5</v>
      </c>
      <c r="N134" s="1">
        <v>0</v>
      </c>
      <c r="O134" s="1">
        <v>0</v>
      </c>
      <c r="P134" s="1" t="s">
        <v>45</v>
      </c>
      <c r="R134" s="1" t="s">
        <v>18</v>
      </c>
      <c r="S134" s="1">
        <v>30</v>
      </c>
      <c r="T134" s="1" t="s">
        <v>80</v>
      </c>
      <c r="U134" s="1">
        <v>0</v>
      </c>
      <c r="V134" s="1">
        <v>1</v>
      </c>
      <c r="W134" s="1">
        <v>0</v>
      </c>
      <c r="X134" s="1" t="s">
        <v>79</v>
      </c>
      <c r="Y134" s="1">
        <v>3</v>
      </c>
      <c r="Z134" s="1">
        <v>0</v>
      </c>
      <c r="AA134" s="1" t="s">
        <v>65</v>
      </c>
      <c r="AC134" s="1">
        <v>2</v>
      </c>
      <c r="AD134" s="1" t="s">
        <v>64</v>
      </c>
      <c r="AE134" s="1" t="s">
        <v>64</v>
      </c>
      <c r="AF134" s="1">
        <v>0</v>
      </c>
      <c r="AG134" s="1">
        <v>0</v>
      </c>
      <c r="AH134" s="1">
        <v>0</v>
      </c>
      <c r="AI134" s="3">
        <v>42947</v>
      </c>
      <c r="AJ134" s="3">
        <v>42983</v>
      </c>
      <c r="AK134" s="6" t="s">
        <v>1049</v>
      </c>
      <c r="AL134" s="6" t="s">
        <v>123</v>
      </c>
      <c r="AM134" s="1">
        <v>0</v>
      </c>
      <c r="AN134" s="1">
        <v>0</v>
      </c>
      <c r="AO134" s="1">
        <v>0</v>
      </c>
      <c r="AP134" s="1">
        <v>0</v>
      </c>
      <c r="AQ134" s="1">
        <v>0</v>
      </c>
      <c r="AR134" s="1">
        <v>0</v>
      </c>
      <c r="AS134" s="12">
        <f>IF(AND(AM134=0,AU134&lt;=2), 1, 0)</f>
        <v>1</v>
      </c>
      <c r="AT134" s="12">
        <v>1</v>
      </c>
      <c r="AU134" s="1">
        <v>2</v>
      </c>
      <c r="AV134" s="1">
        <v>0.5</v>
      </c>
      <c r="AW134" s="1" t="s">
        <v>45</v>
      </c>
      <c r="AX134" s="6" t="s">
        <v>45</v>
      </c>
      <c r="AY134" s="6" t="s">
        <v>45</v>
      </c>
      <c r="AZ134" s="1">
        <v>0.7</v>
      </c>
      <c r="BA134" s="1">
        <v>5.0999999999999996</v>
      </c>
      <c r="BB134" s="1">
        <v>149.6</v>
      </c>
      <c r="BC134" s="1">
        <v>2</v>
      </c>
      <c r="BD134" s="1">
        <v>2</v>
      </c>
      <c r="BE134" s="1">
        <v>326.39999999999998</v>
      </c>
      <c r="BF134" s="6" t="s">
        <v>123</v>
      </c>
      <c r="BG134" s="1">
        <v>45</v>
      </c>
      <c r="BH134" s="1">
        <v>45</v>
      </c>
      <c r="BI134" s="1">
        <v>0</v>
      </c>
      <c r="BJ134" s="1">
        <v>0</v>
      </c>
      <c r="BK134" s="1">
        <f>BH134+BI134</f>
        <v>45</v>
      </c>
      <c r="BL134" s="1">
        <v>25</v>
      </c>
      <c r="BM134" s="1">
        <v>1.8</v>
      </c>
      <c r="BN134" s="1" t="s">
        <v>110</v>
      </c>
      <c r="BO134" s="1">
        <v>0</v>
      </c>
      <c r="BP134" s="1">
        <v>1</v>
      </c>
      <c r="BQ134" s="1">
        <v>1</v>
      </c>
      <c r="BR134" s="3">
        <v>42947</v>
      </c>
      <c r="BS134" s="1" t="s">
        <v>61</v>
      </c>
      <c r="BT134" s="12" t="s">
        <v>60</v>
      </c>
      <c r="BU134" s="1">
        <v>5</v>
      </c>
      <c r="BV134" s="1">
        <v>1</v>
      </c>
      <c r="BW134" s="1">
        <v>4.9000000000000004</v>
      </c>
      <c r="BX134" s="1">
        <v>0.57999999999999996</v>
      </c>
      <c r="BY134" s="1">
        <v>0.32400000000000001</v>
      </c>
      <c r="BZ134" s="1">
        <v>14.8</v>
      </c>
      <c r="CA134" s="1">
        <v>189</v>
      </c>
      <c r="CB134" s="1">
        <v>1.96</v>
      </c>
      <c r="CC134" s="1">
        <v>7.6</v>
      </c>
      <c r="CD134" s="1">
        <v>5.8</v>
      </c>
      <c r="CE134" s="1">
        <v>1</v>
      </c>
      <c r="CF134" s="3">
        <v>43027</v>
      </c>
      <c r="CG134" s="7">
        <f>CF134-AJ134</f>
        <v>44</v>
      </c>
      <c r="CH134" s="1" t="s">
        <v>1026</v>
      </c>
      <c r="CI134" s="12" t="s">
        <v>183</v>
      </c>
      <c r="CJ134" s="17" t="s">
        <v>182</v>
      </c>
      <c r="CK134" s="1" t="s">
        <v>811</v>
      </c>
      <c r="CL134" s="1" t="s">
        <v>45</v>
      </c>
      <c r="CM134" s="1">
        <v>1</v>
      </c>
      <c r="CN134" s="12" t="str">
        <f>MID(CK134,4,1)</f>
        <v>0</v>
      </c>
      <c r="CO134" s="1" t="s">
        <v>1025</v>
      </c>
      <c r="CP134" s="1">
        <v>0</v>
      </c>
      <c r="CQ134" s="1" t="s">
        <v>45</v>
      </c>
      <c r="CR134" s="1">
        <v>0</v>
      </c>
      <c r="CS134" s="1" t="s">
        <v>45</v>
      </c>
      <c r="CT134" s="1" t="s">
        <v>45</v>
      </c>
      <c r="CU134" s="1" t="s">
        <v>45</v>
      </c>
      <c r="CV134" s="1">
        <v>0</v>
      </c>
      <c r="CW134" s="1" t="s">
        <v>45</v>
      </c>
      <c r="CX134" s="1" t="s">
        <v>45</v>
      </c>
      <c r="CY134" s="1" t="s">
        <v>45</v>
      </c>
      <c r="CZ134" s="1">
        <v>0</v>
      </c>
      <c r="DA134" s="1">
        <v>79</v>
      </c>
      <c r="DB134" s="2">
        <f>CZ134/DA134*100</f>
        <v>0</v>
      </c>
      <c r="DC134" s="1">
        <v>0</v>
      </c>
      <c r="DD134" s="1">
        <v>0</v>
      </c>
      <c r="DE134" s="1">
        <v>0</v>
      </c>
      <c r="DF134" s="1">
        <v>0</v>
      </c>
      <c r="DG134" s="26" t="s">
        <v>1048</v>
      </c>
      <c r="DH134" s="7">
        <v>0</v>
      </c>
      <c r="DI134" s="7">
        <v>0</v>
      </c>
      <c r="DJ134" s="3">
        <v>44890</v>
      </c>
      <c r="DK134" s="1" t="s">
        <v>75</v>
      </c>
      <c r="DL134" s="12">
        <f>(DJ134-I134)/365.25*12</f>
        <v>63.835728952772072</v>
      </c>
      <c r="DM134" s="1">
        <v>0</v>
      </c>
      <c r="DN134" s="1" t="s">
        <v>45</v>
      </c>
      <c r="DO134" s="1" t="s">
        <v>45</v>
      </c>
      <c r="DP134" s="6" t="s">
        <v>45</v>
      </c>
      <c r="DQ134" s="7">
        <v>0</v>
      </c>
      <c r="DR134" s="3" t="s">
        <v>45</v>
      </c>
      <c r="DS134" s="10">
        <f>IF(DQ134=1, (DR134-$I134)/365.25*12, IF(DQ134=0, $DL134, "ERROR"))</f>
        <v>63.835728952772072</v>
      </c>
      <c r="DT134" s="7">
        <v>0</v>
      </c>
      <c r="DU134" s="7">
        <v>0</v>
      </c>
      <c r="DV134" s="7">
        <v>0</v>
      </c>
      <c r="DW134" s="16">
        <f>DU134*(1-DV134)</f>
        <v>0</v>
      </c>
      <c r="DX134" s="16">
        <f>(1-DU134)*DV134</f>
        <v>0</v>
      </c>
      <c r="DY134" s="16">
        <f>DU134*DV134</f>
        <v>0</v>
      </c>
      <c r="DZ134" s="3" t="s">
        <v>45</v>
      </c>
      <c r="EA134" s="10">
        <f>IF(DT134=1, (DZ134-$I134)/365.25*12, IF(DT134=0, $DL134, "ERROR"))</f>
        <v>63.835728952772072</v>
      </c>
      <c r="EB134" s="7">
        <v>0</v>
      </c>
      <c r="EC134" s="7">
        <v>0</v>
      </c>
      <c r="ED134" s="16">
        <f>1-((1-DQ134)*(1-DT134))</f>
        <v>0</v>
      </c>
      <c r="EE134" s="11" t="s">
        <v>45</v>
      </c>
      <c r="EF134" s="1" t="s">
        <v>45</v>
      </c>
      <c r="EG134" s="7" t="s">
        <v>45</v>
      </c>
      <c r="EH134" s="1" t="s">
        <v>45</v>
      </c>
      <c r="EI134" s="1">
        <v>0</v>
      </c>
      <c r="EJ134" s="16">
        <f>(1-DQ134)*DX134*(1-EI134)</f>
        <v>0</v>
      </c>
      <c r="EK134" s="1" t="s">
        <v>45</v>
      </c>
      <c r="EL134" s="10">
        <f>IF(EI134=1, (EK134-$I134)/365.25*12, IF(EI134=0, $DL134, "ERROR"))</f>
        <v>63.835728952772072</v>
      </c>
      <c r="EM134" s="1" t="s">
        <v>45</v>
      </c>
      <c r="EN134" s="1">
        <v>0</v>
      </c>
      <c r="EO134" s="1">
        <v>0</v>
      </c>
      <c r="EP134" s="1">
        <v>0</v>
      </c>
      <c r="EQ134" s="1">
        <v>0</v>
      </c>
      <c r="ER134" s="1">
        <v>0</v>
      </c>
      <c r="ES134" s="1">
        <v>0</v>
      </c>
      <c r="ET134" s="1">
        <v>0</v>
      </c>
      <c r="EU134" s="1">
        <v>0</v>
      </c>
      <c r="EV134" s="1">
        <v>0</v>
      </c>
      <c r="EW134" s="1">
        <f>1-((1-EP134)*(1-ET134)*(1-EU134)*(1-EV134))</f>
        <v>0</v>
      </c>
      <c r="EX134" s="7">
        <v>0</v>
      </c>
      <c r="EY134" s="7">
        <v>0</v>
      </c>
      <c r="EZ134" s="7">
        <v>0</v>
      </c>
      <c r="FA134" s="7">
        <v>0</v>
      </c>
      <c r="FB134" s="1" t="s">
        <v>45</v>
      </c>
      <c r="FC134" s="1">
        <v>0</v>
      </c>
      <c r="FD134" s="1">
        <v>1</v>
      </c>
      <c r="FF134" s="1" t="s">
        <v>45</v>
      </c>
      <c r="FG134" s="3">
        <f>IF(FC134=1, FF134, IF(FD134=1, 44348, DJ134))</f>
        <v>44348</v>
      </c>
      <c r="FH134" s="13">
        <f>(FG134-I134)/365.25*12</f>
        <v>46.028747433264883</v>
      </c>
      <c r="FI134" s="20">
        <f>IF(DM134=1, (DO134-I134)/365.25*12, IF(DM134=0, DL134, "ERROR"))</f>
        <v>63.835728952772072</v>
      </c>
      <c r="FJ134" s="14">
        <f>IF(OR(DM134,FC134), 1, 0)</f>
        <v>0</v>
      </c>
      <c r="FK134" s="11">
        <f>IF(DM134=1,IF(FC134=1,MIN(DO134,FF134),DO134),IF(FC134=1,FF134,DJ134))</f>
        <v>44890</v>
      </c>
      <c r="FL134" s="13">
        <f>(FK134-$I134)/365.25*12</f>
        <v>63.835728952772072</v>
      </c>
      <c r="FM134" s="14">
        <f>IF(OR(ED134,FC134), 1, 0)</f>
        <v>0</v>
      </c>
      <c r="FN134" s="11">
        <f>IF(ED134=1,IF(FC134=1,MIN(EE134,FF134),EE134),IF(FC134=1,FF134,DJ134))</f>
        <v>44890</v>
      </c>
      <c r="FO134" s="13">
        <f>(FN134-$I134)/365.25*12</f>
        <v>63.835728952772072</v>
      </c>
      <c r="FP134" s="14">
        <f>IF(OR(EI134,FC134), 1, 0)</f>
        <v>0</v>
      </c>
      <c r="FQ134" s="11">
        <f>IF(EI134=1,IF(FC134=1,MIN(EK134,FF134),EK134),IF(FC134=1,FF134,DJ134))</f>
        <v>44890</v>
      </c>
      <c r="FR134" s="13">
        <f>(FQ134-$I134)/365.25*12</f>
        <v>63.835728952772072</v>
      </c>
      <c r="FU134" s="1">
        <v>0</v>
      </c>
      <c r="FV134" s="1">
        <v>0</v>
      </c>
      <c r="FW134" s="1">
        <v>0</v>
      </c>
      <c r="FX134" s="1">
        <v>0</v>
      </c>
      <c r="GA134" s="1">
        <v>1</v>
      </c>
      <c r="GB134" s="1">
        <v>1</v>
      </c>
      <c r="GC134" s="1">
        <v>322.01780000000002</v>
      </c>
      <c r="GD134" s="1">
        <v>165.0521</v>
      </c>
      <c r="GE134" s="25">
        <v>50</v>
      </c>
      <c r="GF134" s="25">
        <v>50</v>
      </c>
      <c r="GG134" s="1">
        <v>3508.6273999999999</v>
      </c>
      <c r="GH134" s="24">
        <v>2841.0219000000002</v>
      </c>
    </row>
    <row r="135" spans="1:190" ht="12.75" customHeight="1">
      <c r="A135" s="1" t="s">
        <v>1062</v>
      </c>
      <c r="B135" s="15" t="s">
        <v>1061</v>
      </c>
      <c r="C135" s="1">
        <v>49588132</v>
      </c>
      <c r="D135" s="1">
        <v>0</v>
      </c>
      <c r="E135" s="1">
        <v>0</v>
      </c>
      <c r="F135" s="1">
        <v>1</v>
      </c>
      <c r="G135" s="12">
        <v>1</v>
      </c>
      <c r="I135" s="3">
        <v>42922</v>
      </c>
      <c r="J135" s="3">
        <v>42901</v>
      </c>
      <c r="K135" s="3">
        <v>15562</v>
      </c>
      <c r="L135" s="5">
        <f>(DAYS360(K135,I135))/365</f>
        <v>73.882191780821913</v>
      </c>
      <c r="M135" s="1" t="s">
        <v>5</v>
      </c>
      <c r="N135" s="1">
        <v>0</v>
      </c>
      <c r="O135" s="1">
        <v>0</v>
      </c>
      <c r="P135" s="1" t="s">
        <v>69</v>
      </c>
      <c r="Q135" s="1">
        <v>1</v>
      </c>
      <c r="R135" s="1" t="s">
        <v>18</v>
      </c>
      <c r="S135" s="1" t="s">
        <v>1060</v>
      </c>
      <c r="T135" s="1" t="s">
        <v>150</v>
      </c>
      <c r="U135" s="1">
        <v>0</v>
      </c>
      <c r="V135" s="1">
        <v>1</v>
      </c>
      <c r="W135" s="1">
        <v>1</v>
      </c>
      <c r="X135" s="1" t="s">
        <v>117</v>
      </c>
      <c r="Y135" s="1">
        <v>3</v>
      </c>
      <c r="Z135" s="1">
        <v>1</v>
      </c>
      <c r="AA135" s="1" t="s">
        <v>116</v>
      </c>
      <c r="AC135" s="1">
        <v>3</v>
      </c>
      <c r="AD135" s="1" t="s">
        <v>1059</v>
      </c>
      <c r="AE135" s="1" t="s">
        <v>114</v>
      </c>
      <c r="AF135" s="1">
        <v>0</v>
      </c>
      <c r="AG135" s="1">
        <v>0</v>
      </c>
      <c r="AH135" s="1">
        <v>0</v>
      </c>
      <c r="AI135" s="3">
        <v>42922</v>
      </c>
      <c r="AJ135" s="3">
        <v>42964</v>
      </c>
      <c r="AK135" s="6" t="s">
        <v>1058</v>
      </c>
      <c r="AL135" s="6" t="s">
        <v>123</v>
      </c>
      <c r="AM135" s="1">
        <v>0</v>
      </c>
      <c r="AN135" s="1">
        <v>0</v>
      </c>
      <c r="AO135" s="1">
        <v>0</v>
      </c>
      <c r="AP135" s="1">
        <v>0</v>
      </c>
      <c r="AQ135" s="1">
        <v>0</v>
      </c>
      <c r="AR135" s="1">
        <v>0</v>
      </c>
      <c r="AS135" s="12">
        <f>IF(AND(AM135=0,AU135&lt;=2), 1, 0)</f>
        <v>0</v>
      </c>
      <c r="AT135" s="12">
        <v>0</v>
      </c>
      <c r="AU135" s="1">
        <v>3.5</v>
      </c>
      <c r="AV135" s="1">
        <v>1</v>
      </c>
      <c r="AW135" s="1"/>
      <c r="AX135" s="1">
        <v>1.5</v>
      </c>
      <c r="AY135" s="1">
        <v>0.5</v>
      </c>
      <c r="AZ135" s="1">
        <v>0.7</v>
      </c>
      <c r="BA135" s="1">
        <f>4.8+3.6+0.3</f>
        <v>8.7000000000000011</v>
      </c>
      <c r="BB135" s="1">
        <v>374.6</v>
      </c>
      <c r="BC135" s="1">
        <f>8.4-5.1+0.3</f>
        <v>3.6000000000000005</v>
      </c>
      <c r="BD135" s="1">
        <f>7.2-3.9+0.3</f>
        <v>3.6</v>
      </c>
      <c r="BE135" s="1">
        <v>697.1</v>
      </c>
      <c r="BF135" s="6" t="s">
        <v>123</v>
      </c>
      <c r="BG135" s="1">
        <v>45</v>
      </c>
      <c r="BH135" s="1">
        <v>45</v>
      </c>
      <c r="BI135" s="1">
        <v>5.4</v>
      </c>
      <c r="BJ135" s="1">
        <v>1</v>
      </c>
      <c r="BK135" s="1">
        <f>BH135+BI135</f>
        <v>50.4</v>
      </c>
      <c r="BL135" s="1">
        <v>28</v>
      </c>
      <c r="BM135" s="1">
        <v>1.8</v>
      </c>
      <c r="BN135" s="1" t="s">
        <v>62</v>
      </c>
      <c r="BO135" s="1">
        <v>1</v>
      </c>
      <c r="BP135" s="1">
        <v>1</v>
      </c>
      <c r="BQ135" s="1">
        <v>1</v>
      </c>
      <c r="BR135" s="3">
        <v>42922</v>
      </c>
      <c r="BS135" s="1" t="s">
        <v>109</v>
      </c>
      <c r="BT135" s="12" t="s">
        <v>90</v>
      </c>
      <c r="BU135" s="1">
        <v>2</v>
      </c>
      <c r="BV135" s="1">
        <v>1</v>
      </c>
      <c r="BW135" s="1">
        <v>6.04</v>
      </c>
      <c r="BX135" s="1">
        <v>0.56799999999999995</v>
      </c>
      <c r="BY135" s="1">
        <v>0.308</v>
      </c>
      <c r="BZ135" s="1">
        <v>11.2</v>
      </c>
      <c r="CA135" s="1">
        <v>202</v>
      </c>
      <c r="CB135" s="1">
        <v>1.53</v>
      </c>
      <c r="CC135" s="1">
        <v>22.2</v>
      </c>
      <c r="CD135" s="1">
        <v>5.3</v>
      </c>
      <c r="CE135" s="1">
        <v>1</v>
      </c>
      <c r="CF135" s="3">
        <v>42997</v>
      </c>
      <c r="CG135" s="7">
        <f>CF135-AJ135</f>
        <v>33</v>
      </c>
      <c r="CH135" s="1" t="s">
        <v>1057</v>
      </c>
      <c r="CI135" s="12" t="s">
        <v>183</v>
      </c>
      <c r="CJ135" s="17" t="s">
        <v>182</v>
      </c>
      <c r="CK135" s="1" t="s">
        <v>1056</v>
      </c>
      <c r="CL135" s="1" t="s">
        <v>1055</v>
      </c>
      <c r="CM135" s="1">
        <v>0</v>
      </c>
      <c r="CN135" s="12" t="str">
        <f>MID(CK135,4,1)</f>
        <v>2</v>
      </c>
      <c r="CO135" s="1" t="s">
        <v>650</v>
      </c>
      <c r="CP135" s="1">
        <v>2</v>
      </c>
      <c r="CQ135" s="1" t="s">
        <v>1054</v>
      </c>
      <c r="CR135" s="1">
        <v>1.2</v>
      </c>
      <c r="CS135" s="1" t="s">
        <v>1014</v>
      </c>
      <c r="CT135" s="1" t="s">
        <v>511</v>
      </c>
      <c r="CU135" s="1" t="s">
        <v>794</v>
      </c>
      <c r="CV135" s="1">
        <v>0</v>
      </c>
      <c r="CW135" s="1">
        <v>4.5</v>
      </c>
      <c r="CX135" s="1">
        <v>10.8</v>
      </c>
      <c r="CY135" s="1">
        <v>0.06</v>
      </c>
      <c r="CZ135" s="1">
        <v>0</v>
      </c>
      <c r="DA135" s="1">
        <v>48</v>
      </c>
      <c r="DB135" s="2">
        <f>CZ135/DA135*100</f>
        <v>0</v>
      </c>
      <c r="DC135" s="1">
        <v>0</v>
      </c>
      <c r="DD135" s="1">
        <v>0</v>
      </c>
      <c r="DE135" s="1">
        <v>0</v>
      </c>
      <c r="DF135" s="1">
        <v>0</v>
      </c>
      <c r="DG135" s="26" t="s">
        <v>1053</v>
      </c>
      <c r="DH135" s="7">
        <v>0</v>
      </c>
      <c r="DI135" s="7">
        <v>0</v>
      </c>
      <c r="DJ135" s="3">
        <v>43033</v>
      </c>
      <c r="DK135" s="1" t="s">
        <v>1052</v>
      </c>
      <c r="DL135" s="12">
        <f>(DJ135-I135)/365.25*12</f>
        <v>3.6468172484599588</v>
      </c>
      <c r="DM135" s="1">
        <v>0</v>
      </c>
      <c r="DN135" s="1" t="s">
        <v>45</v>
      </c>
      <c r="DO135" s="1" t="s">
        <v>45</v>
      </c>
      <c r="DP135" s="6" t="s">
        <v>45</v>
      </c>
      <c r="DQ135" s="7">
        <v>0</v>
      </c>
      <c r="DR135" s="3" t="s">
        <v>45</v>
      </c>
      <c r="DS135" s="10">
        <f>IF(DQ135=1, (DR135-$I135)/365.25*12, IF(DQ135=0, $DL135, "ERROR"))</f>
        <v>3.6468172484599588</v>
      </c>
      <c r="DT135" s="7">
        <v>0</v>
      </c>
      <c r="DU135" s="7">
        <v>0</v>
      </c>
      <c r="DV135" s="7">
        <v>0</v>
      </c>
      <c r="DW135" s="16">
        <f>DU135*(1-DV135)</f>
        <v>0</v>
      </c>
      <c r="DX135" s="16">
        <f>(1-DU135)*DV135</f>
        <v>0</v>
      </c>
      <c r="DY135" s="16">
        <f>DU135*DV135</f>
        <v>0</v>
      </c>
      <c r="DZ135" s="3" t="s">
        <v>45</v>
      </c>
      <c r="EA135" s="10">
        <f>IF(DT135=1, (DZ135-$I135)/365.25*12, IF(DT135=0, $DL135, "ERROR"))</f>
        <v>3.6468172484599588</v>
      </c>
      <c r="EB135" s="7">
        <v>0</v>
      </c>
      <c r="EC135" s="7">
        <v>0</v>
      </c>
      <c r="ED135" s="16">
        <f>1-((1-DQ135)*(1-DT135))</f>
        <v>0</v>
      </c>
      <c r="EE135" s="11" t="s">
        <v>45</v>
      </c>
      <c r="EF135" s="1" t="s">
        <v>45</v>
      </c>
      <c r="EG135" s="7" t="s">
        <v>45</v>
      </c>
      <c r="EH135" s="1" t="s">
        <v>45</v>
      </c>
      <c r="EI135" s="1">
        <v>0</v>
      </c>
      <c r="EJ135" s="16">
        <f>(1-DQ135)*DX135*(1-EI135)</f>
        <v>0</v>
      </c>
      <c r="EK135" s="1" t="s">
        <v>45</v>
      </c>
      <c r="EL135" s="10">
        <f>IF(EI135=1, (EK135-$I135)/365.25*12, IF(EI135=0, $DL135, "ERROR"))</f>
        <v>3.6468172484599588</v>
      </c>
      <c r="EM135" s="1" t="s">
        <v>45</v>
      </c>
      <c r="EN135" s="1">
        <v>0</v>
      </c>
      <c r="EO135" s="1">
        <v>0</v>
      </c>
      <c r="EP135" s="1">
        <v>0</v>
      </c>
      <c r="EQ135" s="1">
        <v>0</v>
      </c>
      <c r="ER135" s="1">
        <v>0</v>
      </c>
      <c r="ES135" s="1">
        <v>0</v>
      </c>
      <c r="ET135" s="1">
        <v>0</v>
      </c>
      <c r="EU135" s="1">
        <v>0</v>
      </c>
      <c r="EV135" s="1">
        <v>0</v>
      </c>
      <c r="EW135" s="1">
        <f>1-((1-EP135)*(1-ET135)*(1-EU135)*(1-EV135))</f>
        <v>0</v>
      </c>
      <c r="EX135" s="7">
        <v>0</v>
      </c>
      <c r="EY135" s="7">
        <v>0</v>
      </c>
      <c r="EZ135" s="7">
        <v>0</v>
      </c>
      <c r="FA135" s="7">
        <v>0</v>
      </c>
      <c r="FB135" s="1" t="s">
        <v>45</v>
      </c>
      <c r="FC135" s="1">
        <v>1</v>
      </c>
      <c r="FD135" s="1">
        <v>1</v>
      </c>
      <c r="FF135" s="3">
        <v>43353</v>
      </c>
      <c r="FG135" s="3">
        <f>IF(FC135=1, FF135, IF(FD135=1, 44348, DJ135))</f>
        <v>43353</v>
      </c>
      <c r="FH135" s="13">
        <f>(FG135-I135)/365.25*12</f>
        <v>14.160164271047229</v>
      </c>
      <c r="FI135" s="20">
        <f>IF(DM135=1, (DO135-I135)/365.25*12, IF(DM135=0, DL135, "ERROR"))</f>
        <v>3.6468172484599588</v>
      </c>
      <c r="FJ135" s="14">
        <f>IF(OR(DM135,FC135), 1, 0)</f>
        <v>1</v>
      </c>
      <c r="FK135" s="11">
        <f>IF(DM135=1,IF(FC135=1,MIN(DO135,FF135),DO135),IF(FC135=1,FF135,DJ135))</f>
        <v>43353</v>
      </c>
      <c r="FL135" s="13">
        <f>(FK135-$I135)/365.25*12</f>
        <v>14.160164271047229</v>
      </c>
      <c r="FM135" s="14">
        <f>IF(OR(ED135,FC135), 1, 0)</f>
        <v>1</v>
      </c>
      <c r="FN135" s="11">
        <f>IF(ED135=1,IF(FC135=1,MIN(EE135,FF135),EE135),IF(FC135=1,FF135,DJ135))</f>
        <v>43353</v>
      </c>
      <c r="FO135" s="13">
        <f>(FN135-$I135)/365.25*12</f>
        <v>14.160164271047229</v>
      </c>
      <c r="FP135" s="14">
        <f>IF(OR(EI135,FC135), 1, 0)</f>
        <v>1</v>
      </c>
      <c r="FQ135" s="11">
        <f>IF(EI135=1,IF(FC135=1,MIN(EK135,FF135),EK135),IF(FC135=1,FF135,DJ135))</f>
        <v>43353</v>
      </c>
      <c r="FR135" s="13">
        <f>(FQ135-$I135)/365.25*12</f>
        <v>14.160164271047229</v>
      </c>
      <c r="FU135" s="1">
        <v>0</v>
      </c>
      <c r="FV135" s="1">
        <v>0</v>
      </c>
      <c r="FW135" s="1">
        <v>0</v>
      </c>
      <c r="FX135" s="1">
        <v>0</v>
      </c>
      <c r="GA135" s="1">
        <v>40</v>
      </c>
      <c r="GB135" s="1">
        <v>30</v>
      </c>
      <c r="GC135" s="1">
        <v>1421.8959</v>
      </c>
      <c r="GD135" s="1">
        <v>506.27910000000003</v>
      </c>
      <c r="GE135" s="25">
        <v>0.5</v>
      </c>
      <c r="GF135" s="25">
        <v>0.5</v>
      </c>
      <c r="GG135" s="1">
        <v>194.08090000000001</v>
      </c>
      <c r="GH135" s="24">
        <v>19.736599999999999</v>
      </c>
    </row>
    <row r="136" spans="1:190" ht="12.75" customHeight="1">
      <c r="A136" s="1" t="s">
        <v>1040</v>
      </c>
      <c r="B136" s="15" t="s">
        <v>1039</v>
      </c>
      <c r="C136" s="1">
        <v>49645129</v>
      </c>
      <c r="D136" s="1">
        <v>0</v>
      </c>
      <c r="E136" s="1">
        <v>0</v>
      </c>
      <c r="F136" s="1">
        <v>1</v>
      </c>
      <c r="G136" s="12">
        <v>1</v>
      </c>
      <c r="I136" s="3">
        <v>42954</v>
      </c>
      <c r="J136" s="3">
        <v>42916</v>
      </c>
      <c r="K136" s="3">
        <v>17877</v>
      </c>
      <c r="L136" s="5">
        <f>(DAYS360(K136,I136))/365</f>
        <v>67.717808219178082</v>
      </c>
      <c r="M136" s="1" t="s">
        <v>5</v>
      </c>
      <c r="N136" s="1">
        <v>0</v>
      </c>
      <c r="O136" s="1">
        <v>0</v>
      </c>
      <c r="P136" s="1" t="s">
        <v>69</v>
      </c>
      <c r="Q136" s="1">
        <v>1</v>
      </c>
      <c r="R136" s="1" t="s">
        <v>18</v>
      </c>
      <c r="S136" s="1">
        <v>30</v>
      </c>
      <c r="T136" s="1" t="s">
        <v>67</v>
      </c>
      <c r="U136" s="1">
        <v>0</v>
      </c>
      <c r="V136" s="1">
        <v>0</v>
      </c>
      <c r="W136" s="1">
        <v>1</v>
      </c>
      <c r="X136" s="1" t="s">
        <v>1038</v>
      </c>
      <c r="Y136" s="1">
        <v>1</v>
      </c>
      <c r="Z136" s="1">
        <v>1</v>
      </c>
      <c r="AA136" s="1" t="s">
        <v>228</v>
      </c>
      <c r="AC136" s="1">
        <v>1</v>
      </c>
      <c r="AD136" s="1" t="s">
        <v>1037</v>
      </c>
      <c r="AE136" s="1" t="s">
        <v>114</v>
      </c>
      <c r="AF136" s="1">
        <v>0</v>
      </c>
      <c r="AG136" s="1">
        <v>0</v>
      </c>
      <c r="AH136" s="1">
        <v>0</v>
      </c>
      <c r="AI136" s="3">
        <v>42954</v>
      </c>
      <c r="AJ136" s="3">
        <v>42989</v>
      </c>
      <c r="AK136" s="6" t="s">
        <v>1036</v>
      </c>
      <c r="AL136" s="6" t="s">
        <v>1034</v>
      </c>
      <c r="AM136" s="1">
        <v>0</v>
      </c>
      <c r="AN136" s="1">
        <v>0</v>
      </c>
      <c r="AO136" s="1">
        <v>0</v>
      </c>
      <c r="AP136" s="1">
        <v>0</v>
      </c>
      <c r="AQ136" s="1">
        <v>0</v>
      </c>
      <c r="AR136" s="1">
        <v>0</v>
      </c>
      <c r="AS136" s="12">
        <f>IF(AND(AM136=0,AU136&lt;=2), 1, 0)</f>
        <v>0</v>
      </c>
      <c r="AT136" s="12">
        <v>0</v>
      </c>
      <c r="AU136" s="1">
        <v>3</v>
      </c>
      <c r="AV136" s="6" t="s">
        <v>1035</v>
      </c>
      <c r="AX136" s="6" t="s">
        <v>45</v>
      </c>
      <c r="AY136" s="6" t="s">
        <v>45</v>
      </c>
      <c r="AZ136" s="1">
        <v>0.7</v>
      </c>
      <c r="BA136" s="1">
        <f>4.7-2.6+0.3</f>
        <v>2.4</v>
      </c>
      <c r="BB136" s="1">
        <v>102.2</v>
      </c>
      <c r="BC136" s="1">
        <v>3</v>
      </c>
      <c r="BD136" s="1">
        <v>3</v>
      </c>
      <c r="BE136" s="1">
        <v>250.1</v>
      </c>
      <c r="BF136" s="6" t="s">
        <v>1034</v>
      </c>
      <c r="BG136" s="1">
        <v>45</v>
      </c>
      <c r="BH136" s="1">
        <v>45</v>
      </c>
      <c r="BI136" s="1">
        <v>0</v>
      </c>
      <c r="BJ136" s="1">
        <v>0</v>
      </c>
      <c r="BK136" s="1">
        <f>BH136+BI136</f>
        <v>45</v>
      </c>
      <c r="BL136" s="1">
        <v>25</v>
      </c>
      <c r="BM136" s="1">
        <v>1.8</v>
      </c>
      <c r="BN136" s="1" t="s">
        <v>110</v>
      </c>
      <c r="BO136" s="1">
        <v>0</v>
      </c>
      <c r="BP136" s="1">
        <v>1</v>
      </c>
      <c r="BQ136" s="1">
        <v>1</v>
      </c>
      <c r="BR136" s="3">
        <v>42954</v>
      </c>
      <c r="BS136" s="1" t="s">
        <v>61</v>
      </c>
      <c r="BT136" s="12" t="s">
        <v>60</v>
      </c>
      <c r="BU136" s="1">
        <v>5</v>
      </c>
      <c r="BV136" s="1">
        <v>1</v>
      </c>
      <c r="BW136" s="1">
        <v>5.2</v>
      </c>
      <c r="BX136" s="1">
        <v>0.56499999999999995</v>
      </c>
      <c r="BY136" s="1">
        <v>0.33100000000000002</v>
      </c>
      <c r="BZ136" s="1">
        <v>13.8</v>
      </c>
      <c r="CA136" s="1">
        <v>204</v>
      </c>
      <c r="CB136" s="1">
        <v>1.52</v>
      </c>
      <c r="CC136" s="1">
        <v>3.9</v>
      </c>
      <c r="CD136" s="1">
        <v>2.6</v>
      </c>
      <c r="CE136" s="1">
        <v>1</v>
      </c>
      <c r="CF136" s="3">
        <v>43020</v>
      </c>
      <c r="CG136" s="7">
        <f>CF136-AJ136</f>
        <v>31</v>
      </c>
      <c r="CH136" s="1" t="s">
        <v>1033</v>
      </c>
      <c r="CI136" s="12" t="s">
        <v>183</v>
      </c>
      <c r="CJ136" s="1" t="s">
        <v>515</v>
      </c>
      <c r="CK136" s="1" t="s">
        <v>811</v>
      </c>
      <c r="CL136" s="1" t="s">
        <v>45</v>
      </c>
      <c r="CM136" s="1">
        <v>1</v>
      </c>
      <c r="CN136" s="12" t="str">
        <f>MID(CK136,4,1)</f>
        <v>0</v>
      </c>
      <c r="CO136" s="1" t="s">
        <v>1025</v>
      </c>
      <c r="CP136" s="1">
        <v>0</v>
      </c>
      <c r="CQ136" s="1" t="s">
        <v>45</v>
      </c>
      <c r="CR136" s="1">
        <v>0</v>
      </c>
      <c r="CS136" s="1" t="s">
        <v>45</v>
      </c>
      <c r="CT136" s="1" t="s">
        <v>45</v>
      </c>
      <c r="CU136" s="1" t="s">
        <v>45</v>
      </c>
      <c r="CV136" s="1">
        <v>0</v>
      </c>
      <c r="CW136" s="1" t="s">
        <v>45</v>
      </c>
      <c r="CX136" s="1" t="s">
        <v>45</v>
      </c>
      <c r="CY136" s="1" t="s">
        <v>45</v>
      </c>
      <c r="CZ136" s="1">
        <v>0</v>
      </c>
      <c r="DA136" s="1">
        <v>27</v>
      </c>
      <c r="DB136" s="2">
        <f>CZ136/DA136*100</f>
        <v>0</v>
      </c>
      <c r="DC136" s="1">
        <v>0</v>
      </c>
      <c r="DD136" s="1">
        <v>0</v>
      </c>
      <c r="DE136" s="1">
        <v>0</v>
      </c>
      <c r="DF136" s="1">
        <v>0</v>
      </c>
      <c r="DG136" s="26" t="s">
        <v>1032</v>
      </c>
      <c r="DH136" s="7">
        <v>0</v>
      </c>
      <c r="DI136" s="7">
        <v>0</v>
      </c>
      <c r="DJ136" s="3">
        <v>44902</v>
      </c>
      <c r="DK136" s="1" t="s">
        <v>75</v>
      </c>
      <c r="DL136" s="12">
        <f>(DJ136-I136)/365.25*12</f>
        <v>64</v>
      </c>
      <c r="DM136" s="1">
        <v>0</v>
      </c>
      <c r="DN136" s="1" t="s">
        <v>45</v>
      </c>
      <c r="DO136" s="1" t="s">
        <v>45</v>
      </c>
      <c r="DP136" s="6" t="s">
        <v>45</v>
      </c>
      <c r="DQ136" s="7">
        <v>0</v>
      </c>
      <c r="DR136" s="3" t="s">
        <v>45</v>
      </c>
      <c r="DS136" s="10">
        <f>IF(DQ136=1, (DR136-$I136)/365.25*12, IF(DQ136=0, $DL136, "ERROR"))</f>
        <v>64</v>
      </c>
      <c r="DT136" s="7">
        <v>0</v>
      </c>
      <c r="DU136" s="7">
        <v>0</v>
      </c>
      <c r="DV136" s="7">
        <v>0</v>
      </c>
      <c r="DW136" s="16">
        <f>DU136*(1-DV136)</f>
        <v>0</v>
      </c>
      <c r="DX136" s="16">
        <f>(1-DU136)*DV136</f>
        <v>0</v>
      </c>
      <c r="DY136" s="16">
        <f>DU136*DV136</f>
        <v>0</v>
      </c>
      <c r="DZ136" s="3" t="s">
        <v>45</v>
      </c>
      <c r="EA136" s="10">
        <f>IF(DT136=1, (DZ136-$I136)/365.25*12, IF(DT136=0, $DL136, "ERROR"))</f>
        <v>64</v>
      </c>
      <c r="EB136" s="7">
        <v>0</v>
      </c>
      <c r="EC136" s="7">
        <v>0</v>
      </c>
      <c r="ED136" s="16">
        <f>1-((1-DQ136)*(1-DT136))</f>
        <v>0</v>
      </c>
      <c r="EE136" s="11" t="s">
        <v>45</v>
      </c>
      <c r="EF136" s="1" t="s">
        <v>45</v>
      </c>
      <c r="EG136" s="7" t="s">
        <v>45</v>
      </c>
      <c r="EH136" s="1" t="s">
        <v>45</v>
      </c>
      <c r="EI136" s="1">
        <v>0</v>
      </c>
      <c r="EJ136" s="16">
        <f>(1-DQ136)*DX136*(1-EI136)</f>
        <v>0</v>
      </c>
      <c r="EK136" s="1" t="s">
        <v>45</v>
      </c>
      <c r="EL136" s="10">
        <f>IF(EI136=1, (EK136-$I136)/365.25*12, IF(EI136=0, $DL136, "ERROR"))</f>
        <v>64</v>
      </c>
      <c r="EM136" s="1" t="s">
        <v>45</v>
      </c>
      <c r="EN136" s="1">
        <v>0</v>
      </c>
      <c r="EO136" s="1">
        <v>0</v>
      </c>
      <c r="EP136" s="1">
        <v>0</v>
      </c>
      <c r="EQ136" s="1">
        <v>0</v>
      </c>
      <c r="ER136" s="1">
        <v>0</v>
      </c>
      <c r="ES136" s="1">
        <v>0</v>
      </c>
      <c r="ET136" s="1">
        <v>0</v>
      </c>
      <c r="EU136" s="1">
        <v>0</v>
      </c>
      <c r="EV136" s="1">
        <v>0</v>
      </c>
      <c r="EW136" s="1">
        <f>1-((1-EP136)*(1-ET136)*(1-EU136)*(1-EV136))</f>
        <v>0</v>
      </c>
      <c r="EX136" s="7">
        <v>0</v>
      </c>
      <c r="EY136" s="7">
        <v>0</v>
      </c>
      <c r="EZ136" s="7">
        <v>0</v>
      </c>
      <c r="FA136" s="7">
        <v>0</v>
      </c>
      <c r="FB136" s="1" t="s">
        <v>45</v>
      </c>
      <c r="FC136" s="1">
        <v>0</v>
      </c>
      <c r="FD136" s="1">
        <v>1</v>
      </c>
      <c r="FF136" s="1" t="s">
        <v>45</v>
      </c>
      <c r="FG136" s="3">
        <f>IF(FC136=1, FF136, IF(FD136=1, 44348, DJ136))</f>
        <v>44348</v>
      </c>
      <c r="FH136" s="13">
        <f>(FG136-I136)/365.25*12</f>
        <v>45.798767967145793</v>
      </c>
      <c r="FI136" s="20">
        <f>IF(DM136=1, (DO136-I136)/365.25*12, IF(DM136=0, DL136, "ERROR"))</f>
        <v>64</v>
      </c>
      <c r="FJ136" s="14">
        <f>IF(OR(DM136,FC136), 1, 0)</f>
        <v>0</v>
      </c>
      <c r="FK136" s="11">
        <f>IF(DM136=1,IF(FC136=1,MIN(DO136,FF136),DO136),IF(FC136=1,FF136,DJ136))</f>
        <v>44902</v>
      </c>
      <c r="FL136" s="13">
        <f>(FK136-$I136)/365.25*12</f>
        <v>64</v>
      </c>
      <c r="FM136" s="14">
        <f>IF(OR(ED136,FC136), 1, 0)</f>
        <v>0</v>
      </c>
      <c r="FN136" s="11">
        <f>IF(ED136=1,IF(FC136=1,MIN(EE136,FF136),EE136),IF(FC136=1,FF136,DJ136))</f>
        <v>44902</v>
      </c>
      <c r="FO136" s="13">
        <f>(FN136-$I136)/365.25*12</f>
        <v>64</v>
      </c>
      <c r="FP136" s="14">
        <f>IF(OR(EI136,FC136), 1, 0)</f>
        <v>0</v>
      </c>
      <c r="FQ136" s="11">
        <f>IF(EI136=1,IF(FC136=1,MIN(EK136,FF136),EK136),IF(FC136=1,FF136,DJ136))</f>
        <v>44902</v>
      </c>
      <c r="FR136" s="13">
        <f>(FQ136-$I136)/365.25*12</f>
        <v>64</v>
      </c>
      <c r="FU136" s="1">
        <v>0</v>
      </c>
      <c r="FV136" s="1">
        <v>0</v>
      </c>
      <c r="FW136" s="1">
        <v>0</v>
      </c>
      <c r="FX136" s="1">
        <v>0</v>
      </c>
      <c r="GA136" s="1">
        <v>10</v>
      </c>
      <c r="GB136" s="1">
        <v>10</v>
      </c>
      <c r="GC136" s="1">
        <v>1723.7016000000001</v>
      </c>
      <c r="GD136" s="1">
        <v>350.15809999999999</v>
      </c>
      <c r="GE136" s="25">
        <v>5</v>
      </c>
      <c r="GF136" s="25">
        <v>5</v>
      </c>
      <c r="GG136" s="1">
        <v>787.99980000000005</v>
      </c>
      <c r="GH136" s="24">
        <v>315.37150000000003</v>
      </c>
    </row>
    <row r="137" spans="1:190" ht="12.75" customHeight="1">
      <c r="A137" s="1" t="s">
        <v>1031</v>
      </c>
      <c r="B137" s="15" t="s">
        <v>1030</v>
      </c>
      <c r="C137" s="1">
        <v>49696709</v>
      </c>
      <c r="D137" s="1">
        <v>0</v>
      </c>
      <c r="E137" s="1">
        <v>0</v>
      </c>
      <c r="F137" s="1">
        <v>1</v>
      </c>
      <c r="G137" s="12">
        <v>1</v>
      </c>
      <c r="I137" s="3">
        <v>42968</v>
      </c>
      <c r="J137" s="3">
        <v>42936</v>
      </c>
      <c r="K137" s="3">
        <v>20135</v>
      </c>
      <c r="L137" s="5">
        <f>(DAYS360(K137,I137))/365</f>
        <v>61.660273972602738</v>
      </c>
      <c r="M137" s="1" t="s">
        <v>5</v>
      </c>
      <c r="N137" s="1">
        <v>0</v>
      </c>
      <c r="O137" s="1">
        <v>0</v>
      </c>
      <c r="P137" s="1" t="s">
        <v>69</v>
      </c>
      <c r="Q137" s="1">
        <v>1</v>
      </c>
      <c r="R137" s="1" t="s">
        <v>18</v>
      </c>
      <c r="S137" s="1">
        <v>29</v>
      </c>
      <c r="T137" s="1" t="s">
        <v>150</v>
      </c>
      <c r="U137" s="1">
        <v>0</v>
      </c>
      <c r="V137" s="1">
        <v>1</v>
      </c>
      <c r="W137" s="1">
        <v>1</v>
      </c>
      <c r="X137" s="1" t="s">
        <v>117</v>
      </c>
      <c r="Y137" s="1">
        <v>3</v>
      </c>
      <c r="Z137" s="1">
        <v>1</v>
      </c>
      <c r="AA137" s="1" t="s">
        <v>116</v>
      </c>
      <c r="AC137" s="1">
        <v>3</v>
      </c>
      <c r="AD137" s="1" t="s">
        <v>1029</v>
      </c>
      <c r="AE137" s="1" t="s">
        <v>148</v>
      </c>
      <c r="AF137" s="1">
        <v>0</v>
      </c>
      <c r="AG137" s="1">
        <v>0</v>
      </c>
      <c r="AH137" s="1">
        <v>0</v>
      </c>
      <c r="AI137" s="3">
        <v>42968</v>
      </c>
      <c r="AJ137" s="3">
        <v>43000</v>
      </c>
      <c r="AK137" s="6" t="s">
        <v>1028</v>
      </c>
      <c r="AL137" s="6" t="s">
        <v>1027</v>
      </c>
      <c r="AM137" s="1">
        <v>0</v>
      </c>
      <c r="AN137" s="1">
        <v>0</v>
      </c>
      <c r="AO137" s="1">
        <v>0</v>
      </c>
      <c r="AP137" s="1">
        <v>0</v>
      </c>
      <c r="AQ137" s="1">
        <v>0</v>
      </c>
      <c r="AR137" s="1">
        <v>0</v>
      </c>
      <c r="AS137" s="12">
        <f>IF(AND(AM137=0,AU137&lt;=2), 1, 0)</f>
        <v>0</v>
      </c>
      <c r="AT137" s="12">
        <v>0</v>
      </c>
      <c r="AU137" s="1">
        <v>3</v>
      </c>
      <c r="AV137" s="1">
        <v>1</v>
      </c>
      <c r="AW137" s="1"/>
      <c r="AX137" s="6" t="s">
        <v>45</v>
      </c>
      <c r="AY137" s="6" t="s">
        <v>45</v>
      </c>
      <c r="AZ137" s="1">
        <v>0.7</v>
      </c>
      <c r="BA137" s="1">
        <f>6.9+0.6+0.3</f>
        <v>7.8</v>
      </c>
      <c r="BB137" s="1">
        <v>306.8</v>
      </c>
      <c r="BC137" s="1">
        <v>3</v>
      </c>
      <c r="BD137" s="1">
        <v>3</v>
      </c>
      <c r="BE137" s="1">
        <v>582.4</v>
      </c>
      <c r="BF137" s="6" t="s">
        <v>1027</v>
      </c>
      <c r="BG137" s="1">
        <v>45</v>
      </c>
      <c r="BH137" s="1">
        <v>45</v>
      </c>
      <c r="BI137" s="1">
        <v>0</v>
      </c>
      <c r="BJ137" s="1">
        <v>0</v>
      </c>
      <c r="BK137" s="1">
        <f>BH137+BI137</f>
        <v>45</v>
      </c>
      <c r="BL137" s="1">
        <v>25</v>
      </c>
      <c r="BM137" s="1">
        <v>1.8</v>
      </c>
      <c r="BN137" s="1" t="s">
        <v>62</v>
      </c>
      <c r="BO137" s="1">
        <v>1</v>
      </c>
      <c r="BP137" s="1">
        <v>1</v>
      </c>
      <c r="BQ137" s="1">
        <v>1</v>
      </c>
      <c r="BR137" s="3">
        <v>42968</v>
      </c>
      <c r="BS137" s="1" t="s">
        <v>61</v>
      </c>
      <c r="BT137" s="12" t="s">
        <v>60</v>
      </c>
      <c r="BU137" s="1">
        <v>5</v>
      </c>
      <c r="BV137" s="1">
        <v>1</v>
      </c>
      <c r="BW137" s="1">
        <v>9.1</v>
      </c>
      <c r="BX137" s="1">
        <v>0.58699999999999997</v>
      </c>
      <c r="BY137" s="1">
        <v>0.33300000000000002</v>
      </c>
      <c r="BZ137" s="1">
        <v>15.2</v>
      </c>
      <c r="CA137" s="1">
        <v>178</v>
      </c>
      <c r="CB137" s="1">
        <v>1.76</v>
      </c>
      <c r="CC137" s="1">
        <v>12.3</v>
      </c>
      <c r="CD137" s="1">
        <v>7.3</v>
      </c>
      <c r="CE137" s="1">
        <v>1</v>
      </c>
      <c r="CF137" s="3">
        <v>43041</v>
      </c>
      <c r="CG137" s="7">
        <f>CF137-AJ137</f>
        <v>41</v>
      </c>
      <c r="CH137" s="1" t="s">
        <v>1026</v>
      </c>
      <c r="CI137" s="12" t="s">
        <v>183</v>
      </c>
      <c r="CJ137" s="17" t="s">
        <v>182</v>
      </c>
      <c r="CK137" s="1" t="s">
        <v>771</v>
      </c>
      <c r="CL137" s="1" t="s">
        <v>45</v>
      </c>
      <c r="CM137" s="1">
        <v>0</v>
      </c>
      <c r="CN137" s="12" t="str">
        <f>MID(CK137,4,1)</f>
        <v>0</v>
      </c>
      <c r="CO137" s="1" t="s">
        <v>1025</v>
      </c>
      <c r="CP137" s="1">
        <v>0</v>
      </c>
      <c r="CQ137" s="1" t="s">
        <v>45</v>
      </c>
      <c r="CR137" s="1">
        <v>0</v>
      </c>
      <c r="CS137" s="1" t="s">
        <v>45</v>
      </c>
      <c r="CT137" s="1" t="s">
        <v>45</v>
      </c>
      <c r="CU137" s="1" t="s">
        <v>45</v>
      </c>
      <c r="CV137" s="1">
        <v>0</v>
      </c>
      <c r="CW137" s="1" t="s">
        <v>45</v>
      </c>
      <c r="CX137" s="1" t="s">
        <v>45</v>
      </c>
      <c r="CY137" s="1" t="s">
        <v>45</v>
      </c>
      <c r="CZ137" s="1">
        <v>1</v>
      </c>
      <c r="DA137" s="1">
        <v>66</v>
      </c>
      <c r="DB137" s="2">
        <f>CZ137/DA137*100</f>
        <v>1.5151515151515151</v>
      </c>
      <c r="DC137" s="1">
        <v>0</v>
      </c>
      <c r="DD137" s="1">
        <v>0</v>
      </c>
      <c r="DE137" s="1">
        <v>0</v>
      </c>
      <c r="DF137" s="1">
        <v>0</v>
      </c>
      <c r="DG137" s="26" t="s">
        <v>1024</v>
      </c>
      <c r="DH137" s="7">
        <v>0</v>
      </c>
      <c r="DI137" s="7">
        <v>0</v>
      </c>
      <c r="DJ137" s="3">
        <v>44888</v>
      </c>
      <c r="DK137" s="1" t="s">
        <v>1023</v>
      </c>
      <c r="DL137" s="12">
        <f>(DJ137-I137)/365.25*12</f>
        <v>63.080082135523611</v>
      </c>
      <c r="DM137" s="1">
        <v>1</v>
      </c>
      <c r="DN137" s="1" t="s">
        <v>337</v>
      </c>
      <c r="DO137" s="3">
        <v>44570</v>
      </c>
      <c r="DP137" s="6" t="s">
        <v>133</v>
      </c>
      <c r="DQ137" s="7">
        <v>0</v>
      </c>
      <c r="DR137" s="3" t="s">
        <v>45</v>
      </c>
      <c r="DS137" s="10">
        <f>IF(DQ137=1, (DR137-$I137)/365.25*12, IF(DQ137=0, $DL137, "ERROR"))</f>
        <v>63.080082135523611</v>
      </c>
      <c r="DT137" s="7">
        <v>0</v>
      </c>
      <c r="DU137" s="7">
        <v>0</v>
      </c>
      <c r="DV137" s="7">
        <v>0</v>
      </c>
      <c r="DW137" s="16">
        <f>DU137*(1-DV137)</f>
        <v>0</v>
      </c>
      <c r="DX137" s="16">
        <f>(1-DU137)*DV137</f>
        <v>0</v>
      </c>
      <c r="DY137" s="16">
        <f>DU137*DV137</f>
        <v>0</v>
      </c>
      <c r="DZ137" s="3" t="s">
        <v>45</v>
      </c>
      <c r="EA137" s="10">
        <f>IF(DT137=1, (DZ137-$I137)/365.25*12, IF(DT137=0, $DL137, "ERROR"))</f>
        <v>63.080082135523611</v>
      </c>
      <c r="EB137" s="7">
        <v>0</v>
      </c>
      <c r="EC137" s="7">
        <v>0</v>
      </c>
      <c r="ED137" s="16">
        <f>1-((1-DQ137)*(1-DT137))</f>
        <v>0</v>
      </c>
      <c r="EE137" s="11" t="s">
        <v>45</v>
      </c>
      <c r="EF137" s="1" t="s">
        <v>45</v>
      </c>
      <c r="EG137" s="7" t="s">
        <v>45</v>
      </c>
      <c r="EH137" s="1" t="s">
        <v>45</v>
      </c>
      <c r="EI137" s="1">
        <v>1</v>
      </c>
      <c r="EJ137" s="16">
        <f>(1-DQ137)*DX137*(1-EI137)</f>
        <v>0</v>
      </c>
      <c r="EK137" s="3">
        <v>44570</v>
      </c>
      <c r="EL137" s="10">
        <f>IF(EI137=1, (EK137-$I137)/365.25*12, IF(EI137=0, $DL137, "ERROR"))</f>
        <v>52.632443531827512</v>
      </c>
      <c r="EM137" s="1" t="s">
        <v>337</v>
      </c>
      <c r="EN137" s="1">
        <v>1</v>
      </c>
      <c r="EO137" s="1">
        <v>0</v>
      </c>
      <c r="EP137" s="1">
        <v>0</v>
      </c>
      <c r="EQ137" s="1">
        <v>0</v>
      </c>
      <c r="ER137" s="1">
        <v>0</v>
      </c>
      <c r="ES137" s="1">
        <v>0</v>
      </c>
      <c r="ET137" s="1">
        <v>0</v>
      </c>
      <c r="EU137" s="1">
        <v>0</v>
      </c>
      <c r="EV137" s="1">
        <v>0</v>
      </c>
      <c r="EW137" s="1">
        <f>1-((1-EP137)*(1-ET137)*(1-EU137)*(1-EV137))</f>
        <v>0</v>
      </c>
      <c r="EX137" s="7">
        <v>0</v>
      </c>
      <c r="EY137" s="7">
        <v>0</v>
      </c>
      <c r="EZ137" s="7">
        <v>0</v>
      </c>
      <c r="FA137" s="7">
        <v>0</v>
      </c>
      <c r="FB137" s="1" t="s">
        <v>45</v>
      </c>
      <c r="FC137" s="1">
        <v>0</v>
      </c>
      <c r="FD137" s="1">
        <v>1</v>
      </c>
      <c r="FF137" s="1" t="s">
        <v>45</v>
      </c>
      <c r="FG137" s="3">
        <f>IF(FC137=1, FF137, IF(FD137=1, 44348, DJ137))</f>
        <v>44348</v>
      </c>
      <c r="FH137" s="13">
        <f>(FG137-I137)/365.25*12</f>
        <v>45.338809034907598</v>
      </c>
      <c r="FI137" s="20">
        <f>IF(DM137=1, (DO137-I137)/365.25*12, IF(DM137=0, DL137, "ERROR"))</f>
        <v>52.632443531827512</v>
      </c>
      <c r="FJ137" s="14">
        <f>IF(OR(DM137,FC137), 1, 0)</f>
        <v>1</v>
      </c>
      <c r="FK137" s="11">
        <f>IF(DM137=1,IF(FC137=1,MIN(DO137,FF137),DO137),IF(FC137=1,FF137,DJ137))</f>
        <v>44570</v>
      </c>
      <c r="FL137" s="13">
        <f>(FK137-$I137)/365.25*12</f>
        <v>52.632443531827512</v>
      </c>
      <c r="FM137" s="14">
        <f>IF(OR(ED137,FC137), 1, 0)</f>
        <v>0</v>
      </c>
      <c r="FN137" s="11">
        <f>IF(ED137=1,IF(FC137=1,MIN(EE137,FF137),EE137),IF(FC137=1,FF137,DJ137))</f>
        <v>44888</v>
      </c>
      <c r="FO137" s="13">
        <f>(FN137-$I137)/365.25*12</f>
        <v>63.080082135523611</v>
      </c>
      <c r="FP137" s="14">
        <f>IF(OR(EI137,FC137), 1, 0)</f>
        <v>1</v>
      </c>
      <c r="FQ137" s="11">
        <f>IF(EI137=1,IF(FC137=1,MIN(EK137,FF137),EK137),IF(FC137=1,FF137,DJ137))</f>
        <v>44570</v>
      </c>
      <c r="FR137" s="13">
        <f>(FQ137-$I137)/365.25*12</f>
        <v>52.632443531827512</v>
      </c>
      <c r="FU137" s="1">
        <v>0</v>
      </c>
      <c r="FV137" s="1">
        <v>0</v>
      </c>
      <c r="FW137" s="1">
        <v>0</v>
      </c>
      <c r="FX137" s="1">
        <v>0</v>
      </c>
      <c r="FY137" s="1" t="s">
        <v>1022</v>
      </c>
      <c r="GA137" s="1">
        <v>4</v>
      </c>
      <c r="GB137" s="1">
        <v>3</v>
      </c>
      <c r="GC137" s="1">
        <v>378.27710000000002</v>
      </c>
      <c r="GD137" s="1">
        <v>49.243699999999997</v>
      </c>
      <c r="GE137" s="25">
        <v>5</v>
      </c>
      <c r="GF137" s="25">
        <v>5</v>
      </c>
      <c r="GG137" s="1">
        <v>804.28</v>
      </c>
      <c r="GH137" s="24">
        <v>362.4495</v>
      </c>
    </row>
    <row r="138" spans="1:190" ht="12.75" customHeight="1">
      <c r="A138" s="1" t="s">
        <v>1414</v>
      </c>
      <c r="B138" s="15" t="s">
        <v>1413</v>
      </c>
      <c r="C138" s="1">
        <v>50107014</v>
      </c>
      <c r="D138" s="1">
        <v>0</v>
      </c>
      <c r="E138" s="1">
        <v>0</v>
      </c>
      <c r="F138" s="1">
        <v>1</v>
      </c>
      <c r="G138" s="12">
        <v>1</v>
      </c>
      <c r="I138" s="3">
        <v>43059</v>
      </c>
      <c r="J138" s="3">
        <v>43041</v>
      </c>
      <c r="K138" s="3">
        <v>22227</v>
      </c>
      <c r="L138" s="5">
        <f>(DAYS360(K138,I138))/365</f>
        <v>56.254794520547946</v>
      </c>
      <c r="M138" s="1" t="s">
        <v>5</v>
      </c>
      <c r="N138" s="1">
        <v>1</v>
      </c>
      <c r="O138" s="1">
        <v>0</v>
      </c>
      <c r="P138" s="1" t="s">
        <v>69</v>
      </c>
      <c r="Q138" s="1">
        <v>1</v>
      </c>
      <c r="R138" s="1" t="s">
        <v>209</v>
      </c>
      <c r="S138" s="1">
        <v>30</v>
      </c>
      <c r="T138" s="1" t="s">
        <v>67</v>
      </c>
      <c r="U138" s="1">
        <v>0</v>
      </c>
      <c r="V138" s="1">
        <v>0</v>
      </c>
      <c r="W138" s="1">
        <v>1</v>
      </c>
      <c r="X138" s="1" t="s">
        <v>117</v>
      </c>
      <c r="Y138" s="1">
        <v>3</v>
      </c>
      <c r="Z138" s="1">
        <v>1</v>
      </c>
      <c r="AA138" s="1" t="s">
        <v>116</v>
      </c>
      <c r="AC138" s="1">
        <v>3</v>
      </c>
      <c r="AD138" s="1" t="s">
        <v>1412</v>
      </c>
      <c r="AE138" s="1" t="s">
        <v>148</v>
      </c>
      <c r="AF138" s="1">
        <v>0</v>
      </c>
      <c r="AG138" s="1">
        <v>0</v>
      </c>
      <c r="AH138" s="1">
        <v>0</v>
      </c>
      <c r="AI138" s="3">
        <v>43059</v>
      </c>
      <c r="AJ138" s="3">
        <v>43091</v>
      </c>
      <c r="AK138" s="6" t="s">
        <v>1411</v>
      </c>
      <c r="AL138" s="6" t="s">
        <v>250</v>
      </c>
      <c r="AM138" s="1">
        <v>1</v>
      </c>
      <c r="AN138" s="1">
        <v>1</v>
      </c>
      <c r="AO138" s="1">
        <v>0</v>
      </c>
      <c r="AP138" s="1">
        <v>0</v>
      </c>
      <c r="AQ138" s="1">
        <v>0</v>
      </c>
      <c r="AR138" s="1">
        <v>0</v>
      </c>
      <c r="AS138" s="12">
        <f>IF(AND(AM138=0,AU138&lt;=2), 1, 0)</f>
        <v>0</v>
      </c>
      <c r="AT138" s="12">
        <v>0</v>
      </c>
      <c r="AU138" s="1">
        <v>2</v>
      </c>
      <c r="AV138" s="1">
        <v>0.5</v>
      </c>
      <c r="AW138" s="1"/>
      <c r="AX138" s="6" t="s">
        <v>45</v>
      </c>
      <c r="AY138" s="6" t="s">
        <v>45</v>
      </c>
      <c r="AZ138" s="1">
        <v>1</v>
      </c>
      <c r="BA138" s="1">
        <v>6.6</v>
      </c>
      <c r="BB138" s="1">
        <v>152.4</v>
      </c>
      <c r="BC138" s="1">
        <f>10.5-6.6+0.3</f>
        <v>4.2</v>
      </c>
      <c r="BD138" s="1">
        <v>2</v>
      </c>
      <c r="BE138" s="1">
        <v>465.2</v>
      </c>
      <c r="BF138" s="1" t="s">
        <v>292</v>
      </c>
      <c r="BG138" s="1">
        <v>45</v>
      </c>
      <c r="BH138" s="1">
        <v>45</v>
      </c>
      <c r="BI138" s="1">
        <v>0</v>
      </c>
      <c r="BJ138" s="1">
        <v>0</v>
      </c>
      <c r="BK138" s="1">
        <f>BH138+BI138</f>
        <v>45</v>
      </c>
      <c r="BL138" s="1">
        <v>25</v>
      </c>
      <c r="BM138" s="1">
        <v>1.8</v>
      </c>
      <c r="BN138" s="1" t="s">
        <v>62</v>
      </c>
      <c r="BO138" s="1">
        <v>1</v>
      </c>
      <c r="BP138" s="1">
        <v>1</v>
      </c>
      <c r="BQ138" s="1">
        <v>1</v>
      </c>
      <c r="BR138" s="3">
        <v>43059</v>
      </c>
      <c r="BS138" s="1" t="s">
        <v>61</v>
      </c>
      <c r="BT138" s="12" t="s">
        <v>60</v>
      </c>
      <c r="BU138" s="1">
        <v>5</v>
      </c>
      <c r="BV138" s="1">
        <v>1</v>
      </c>
      <c r="BW138" s="1">
        <v>7.6</v>
      </c>
      <c r="BX138" s="1">
        <v>0.621</v>
      </c>
      <c r="BY138" s="1">
        <v>0.248</v>
      </c>
      <c r="BZ138" s="1">
        <v>13.7</v>
      </c>
      <c r="CA138" s="1">
        <v>335</v>
      </c>
      <c r="CB138" s="1">
        <v>1.61</v>
      </c>
      <c r="CC138" s="1">
        <v>16.399999999999999</v>
      </c>
      <c r="CD138" s="1">
        <v>5.7</v>
      </c>
      <c r="CE138" s="1">
        <v>1</v>
      </c>
      <c r="CF138" s="3">
        <v>43133</v>
      </c>
      <c r="CG138" s="7">
        <f>CF138-AJ138</f>
        <v>42</v>
      </c>
      <c r="CH138" s="1" t="s">
        <v>1410</v>
      </c>
      <c r="CI138" s="12" t="s">
        <v>183</v>
      </c>
      <c r="CJ138" s="17" t="s">
        <v>182</v>
      </c>
      <c r="CK138" s="1" t="s">
        <v>1131</v>
      </c>
      <c r="CL138" s="1" t="s">
        <v>1130</v>
      </c>
      <c r="CM138" s="1">
        <v>0</v>
      </c>
      <c r="CN138" s="12" t="str">
        <f>MID(CK138,4,1)</f>
        <v>1</v>
      </c>
      <c r="CO138" s="1" t="s">
        <v>1004</v>
      </c>
      <c r="CP138" s="1">
        <v>1</v>
      </c>
      <c r="CQ138" s="1" t="s">
        <v>1409</v>
      </c>
      <c r="CR138" s="1">
        <v>0.1</v>
      </c>
      <c r="CS138" s="1" t="s">
        <v>1014</v>
      </c>
      <c r="CT138" s="1" t="s">
        <v>473</v>
      </c>
      <c r="CU138" s="1" t="s">
        <v>472</v>
      </c>
      <c r="CV138" s="1">
        <v>0</v>
      </c>
      <c r="CW138" s="1">
        <v>8.9</v>
      </c>
      <c r="CX138" s="1">
        <v>2.7</v>
      </c>
      <c r="CY138" s="1">
        <v>1.2</v>
      </c>
      <c r="CZ138" s="1">
        <v>0</v>
      </c>
      <c r="DA138" s="1">
        <v>61</v>
      </c>
      <c r="DB138" s="2">
        <f>CZ138/DA138*100</f>
        <v>0</v>
      </c>
      <c r="DC138" s="1">
        <v>0</v>
      </c>
      <c r="DD138" s="1">
        <v>0</v>
      </c>
      <c r="DE138" s="1">
        <v>0</v>
      </c>
      <c r="DF138" s="1">
        <v>1</v>
      </c>
      <c r="DG138" s="26" t="s">
        <v>1408</v>
      </c>
      <c r="DH138" s="7">
        <v>0</v>
      </c>
      <c r="DI138" s="7">
        <v>0</v>
      </c>
      <c r="DJ138" s="3">
        <v>44867</v>
      </c>
      <c r="DK138" s="1" t="s">
        <v>75</v>
      </c>
      <c r="DL138" s="12">
        <f>(DJ138-I138)/365.25*12</f>
        <v>59.400410677618069</v>
      </c>
      <c r="DM138" s="1">
        <v>0</v>
      </c>
      <c r="DN138" s="1" t="s">
        <v>45</v>
      </c>
      <c r="DO138" s="1" t="s">
        <v>45</v>
      </c>
      <c r="DP138" s="6" t="s">
        <v>45</v>
      </c>
      <c r="DQ138" s="7">
        <v>0</v>
      </c>
      <c r="DR138" s="3" t="s">
        <v>45</v>
      </c>
      <c r="DS138" s="10">
        <f>IF(DQ138=1, (DR138-$I138)/365.25*12, IF(DQ138=0, $DL138, "ERROR"))</f>
        <v>59.400410677618069</v>
      </c>
      <c r="DT138" s="7">
        <v>0</v>
      </c>
      <c r="DU138" s="7">
        <v>0</v>
      </c>
      <c r="DV138" s="7">
        <v>0</v>
      </c>
      <c r="DW138" s="16">
        <f>DU138*(1-DV138)</f>
        <v>0</v>
      </c>
      <c r="DX138" s="16">
        <f>(1-DU138)*DV138</f>
        <v>0</v>
      </c>
      <c r="DY138" s="16">
        <f>DU138*DV138</f>
        <v>0</v>
      </c>
      <c r="DZ138" s="3" t="s">
        <v>45</v>
      </c>
      <c r="EA138" s="10">
        <f>IF(DT138=1, (DZ138-$I138)/365.25*12, IF(DT138=0, $DL138, "ERROR"))</f>
        <v>59.400410677618069</v>
      </c>
      <c r="EB138" s="7">
        <v>0</v>
      </c>
      <c r="EC138" s="7">
        <v>0</v>
      </c>
      <c r="ED138" s="16">
        <f>1-((1-DQ138)*(1-DT138))</f>
        <v>0</v>
      </c>
      <c r="EE138" s="11" t="s">
        <v>45</v>
      </c>
      <c r="EF138" s="1" t="s">
        <v>45</v>
      </c>
      <c r="EG138" s="7" t="s">
        <v>45</v>
      </c>
      <c r="EH138" s="1" t="s">
        <v>45</v>
      </c>
      <c r="EI138" s="1">
        <v>0</v>
      </c>
      <c r="EJ138" s="16">
        <f>(1-DQ138)*DX138*(1-EI138)</f>
        <v>0</v>
      </c>
      <c r="EK138" s="1" t="s">
        <v>45</v>
      </c>
      <c r="EL138" s="10">
        <f>IF(EI138=1, (EK138-$I138)/365.25*12, IF(EI138=0, $DL138, "ERROR"))</f>
        <v>59.400410677618069</v>
      </c>
      <c r="EM138" s="1" t="s">
        <v>45</v>
      </c>
      <c r="EN138" s="1">
        <v>0</v>
      </c>
      <c r="EO138" s="1">
        <v>0</v>
      </c>
      <c r="EP138" s="1">
        <v>0</v>
      </c>
      <c r="EQ138" s="1">
        <v>0</v>
      </c>
      <c r="ER138" s="1">
        <v>0</v>
      </c>
      <c r="ES138" s="1">
        <v>0</v>
      </c>
      <c r="ET138" s="1">
        <v>0</v>
      </c>
      <c r="EU138" s="1">
        <v>0</v>
      </c>
      <c r="EV138" s="1">
        <v>0</v>
      </c>
      <c r="EW138" s="1">
        <f>1-((1-EP138)*(1-ET138)*(1-EU138)*(1-EV138))</f>
        <v>0</v>
      </c>
      <c r="EX138" s="7">
        <v>0</v>
      </c>
      <c r="EY138" s="7">
        <v>0</v>
      </c>
      <c r="EZ138" s="7">
        <v>0</v>
      </c>
      <c r="FA138" s="7">
        <v>0</v>
      </c>
      <c r="FB138" s="1" t="s">
        <v>45</v>
      </c>
      <c r="FC138" s="1">
        <v>0</v>
      </c>
      <c r="FD138" s="1">
        <v>1</v>
      </c>
      <c r="FF138" s="1" t="s">
        <v>45</v>
      </c>
      <c r="FG138" s="3">
        <f>IF(FC138=1, FF138, IF(FD138=1, 44348, DJ138))</f>
        <v>44348</v>
      </c>
      <c r="FH138" s="13">
        <f>(FG138-I138)/365.25*12</f>
        <v>42.349075975359341</v>
      </c>
      <c r="FI138" s="20">
        <f>IF(DM138=1, (DO138-I138)/365.25*12, IF(DM138=0, DL138, "ERROR"))</f>
        <v>59.400410677618069</v>
      </c>
      <c r="FJ138" s="14">
        <f>IF(OR(DM138,FC138), 1, 0)</f>
        <v>0</v>
      </c>
      <c r="FK138" s="11">
        <f>IF(DM138=1,IF(FC138=1,MIN(DO138,FF138),DO138),IF(FC138=1,FF138,DJ138))</f>
        <v>44867</v>
      </c>
      <c r="FL138" s="13">
        <f>(FK138-$I138)/365.25*12</f>
        <v>59.400410677618069</v>
      </c>
      <c r="FM138" s="14">
        <f>IF(OR(ED138,FC138), 1, 0)</f>
        <v>0</v>
      </c>
      <c r="FN138" s="11">
        <f>IF(ED138=1,IF(FC138=1,MIN(EE138,FF138),EE138),IF(FC138=1,FF138,DJ138))</f>
        <v>44867</v>
      </c>
      <c r="FO138" s="13">
        <f>(FN138-$I138)/365.25*12</f>
        <v>59.400410677618069</v>
      </c>
      <c r="FP138" s="14">
        <f>IF(OR(EI138,FC138), 1, 0)</f>
        <v>0</v>
      </c>
      <c r="FQ138" s="11">
        <f>IF(EI138=1,IF(FC138=1,MIN(EK138,FF138),EK138),IF(FC138=1,FF138,DJ138))</f>
        <v>44867</v>
      </c>
      <c r="FR138" s="13">
        <f>(FQ138-$I138)/365.25*12</f>
        <v>59.400410677618069</v>
      </c>
      <c r="FS138" s="1" t="s">
        <v>45</v>
      </c>
      <c r="FT138" s="1" t="s">
        <v>1407</v>
      </c>
      <c r="FU138" s="1">
        <v>1</v>
      </c>
      <c r="FV138" s="1">
        <v>0</v>
      </c>
      <c r="FW138" s="1">
        <v>0</v>
      </c>
      <c r="FX138" s="1">
        <v>0</v>
      </c>
      <c r="GA138" s="1">
        <v>0.5</v>
      </c>
      <c r="GB138" s="1">
        <v>0.5</v>
      </c>
      <c r="GC138" s="1">
        <v>157.9693</v>
      </c>
      <c r="GD138" s="1">
        <v>29.3978</v>
      </c>
      <c r="GE138" s="25">
        <v>5</v>
      </c>
      <c r="GF138" s="25">
        <v>5</v>
      </c>
      <c r="GG138" s="1">
        <v>1037.4005999999999</v>
      </c>
      <c r="GH138" s="24">
        <v>888.01099999999997</v>
      </c>
    </row>
    <row r="139" spans="1:190" ht="12.75" customHeight="1">
      <c r="A139" s="1" t="s">
        <v>1474</v>
      </c>
      <c r="B139" s="15" t="s">
        <v>1473</v>
      </c>
      <c r="C139" s="1">
        <v>50153877</v>
      </c>
      <c r="D139" s="1">
        <v>0</v>
      </c>
      <c r="E139" s="1">
        <v>0</v>
      </c>
      <c r="F139" s="1">
        <v>1</v>
      </c>
      <c r="G139" s="12">
        <v>1</v>
      </c>
      <c r="I139" s="3">
        <v>43075</v>
      </c>
      <c r="J139" s="3">
        <v>43054</v>
      </c>
      <c r="K139" s="3">
        <v>18459</v>
      </c>
      <c r="L139" s="5">
        <f>(DAYS360(K139,I139))/365</f>
        <v>66.468493150684935</v>
      </c>
      <c r="M139" s="1" t="s">
        <v>5</v>
      </c>
      <c r="N139" s="1">
        <v>1</v>
      </c>
      <c r="O139" s="1">
        <v>0</v>
      </c>
      <c r="P139" s="1" t="s">
        <v>69</v>
      </c>
      <c r="Q139" s="1">
        <v>1</v>
      </c>
      <c r="R139" s="1" t="s">
        <v>209</v>
      </c>
      <c r="S139" s="1">
        <v>30</v>
      </c>
      <c r="T139" s="1" t="s">
        <v>80</v>
      </c>
      <c r="U139" s="1">
        <v>0</v>
      </c>
      <c r="V139" s="1">
        <v>1</v>
      </c>
      <c r="W139" s="1">
        <v>0</v>
      </c>
      <c r="X139" s="1" t="s">
        <v>1113</v>
      </c>
      <c r="Y139" s="1">
        <v>2</v>
      </c>
      <c r="Z139" s="1">
        <v>0</v>
      </c>
      <c r="AA139" s="1" t="s">
        <v>96</v>
      </c>
      <c r="AC139" s="1">
        <v>5</v>
      </c>
      <c r="AD139" s="1" t="s">
        <v>1472</v>
      </c>
      <c r="AE139" s="1" t="s">
        <v>1082</v>
      </c>
      <c r="AF139" s="1">
        <v>1</v>
      </c>
      <c r="AG139" s="1">
        <v>1</v>
      </c>
      <c r="AH139" s="1">
        <v>1</v>
      </c>
      <c r="AI139" s="3">
        <v>43075</v>
      </c>
      <c r="AJ139" s="3">
        <v>43111</v>
      </c>
      <c r="AK139" s="6" t="s">
        <v>1471</v>
      </c>
      <c r="AL139" s="6" t="s">
        <v>1470</v>
      </c>
      <c r="AM139" s="1">
        <v>1</v>
      </c>
      <c r="AN139" s="1">
        <v>1</v>
      </c>
      <c r="AO139" s="1">
        <v>0</v>
      </c>
      <c r="AP139" s="1">
        <v>0</v>
      </c>
      <c r="AQ139" s="1">
        <v>0</v>
      </c>
      <c r="AR139" s="1">
        <v>0</v>
      </c>
      <c r="AS139" s="12">
        <f>IF(AND(AM139=0,AU139&lt;=2), 1, 0)</f>
        <v>0</v>
      </c>
      <c r="AT139" s="12">
        <v>0</v>
      </c>
      <c r="AU139" s="1">
        <v>2</v>
      </c>
      <c r="AV139" s="6" t="s">
        <v>45</v>
      </c>
      <c r="AX139" s="6" t="s">
        <v>45</v>
      </c>
      <c r="AY139" s="6" t="s">
        <v>45</v>
      </c>
      <c r="AZ139" s="6" t="s">
        <v>46</v>
      </c>
      <c r="BA139" s="1">
        <v>3.3</v>
      </c>
      <c r="BB139" s="1">
        <f>142.8+1.7</f>
        <v>144.5</v>
      </c>
      <c r="BC139" s="1">
        <f>7-1.3+0.3</f>
        <v>6</v>
      </c>
      <c r="BD139" s="1">
        <v>2</v>
      </c>
      <c r="BE139" s="1">
        <v>401.8</v>
      </c>
      <c r="BF139" s="1" t="s">
        <v>1457</v>
      </c>
      <c r="BG139" s="1">
        <v>45</v>
      </c>
      <c r="BH139" s="1">
        <v>45</v>
      </c>
      <c r="BI139" s="1">
        <v>0</v>
      </c>
      <c r="BJ139" s="1">
        <v>0</v>
      </c>
      <c r="BK139" s="1">
        <f>BH139+BI139</f>
        <v>45</v>
      </c>
      <c r="BL139" s="1">
        <v>25</v>
      </c>
      <c r="BM139" s="1">
        <v>1.8</v>
      </c>
      <c r="BN139" s="1" t="s">
        <v>62</v>
      </c>
      <c r="BO139" s="1">
        <v>1</v>
      </c>
      <c r="BP139" s="1">
        <v>1</v>
      </c>
      <c r="BQ139" s="1">
        <v>1</v>
      </c>
      <c r="BR139" s="3">
        <v>43075</v>
      </c>
      <c r="BS139" s="1" t="s">
        <v>61</v>
      </c>
      <c r="BT139" s="12" t="s">
        <v>60</v>
      </c>
      <c r="BU139" s="1">
        <v>5</v>
      </c>
      <c r="BV139" s="1">
        <v>1</v>
      </c>
      <c r="BW139" s="1">
        <v>6.2</v>
      </c>
      <c r="BX139" s="1">
        <v>0.55200000000000005</v>
      </c>
      <c r="BY139" s="1">
        <v>0.36799999999999999</v>
      </c>
      <c r="BZ139" s="1">
        <v>16.399999999999999</v>
      </c>
      <c r="CA139" s="1">
        <v>266</v>
      </c>
      <c r="CB139" s="1">
        <v>1.76</v>
      </c>
      <c r="CC139" s="1">
        <v>12.5</v>
      </c>
      <c r="CD139" s="1">
        <v>4.9000000000000004</v>
      </c>
      <c r="CE139" s="1">
        <v>1</v>
      </c>
      <c r="CF139" s="3">
        <v>43154</v>
      </c>
      <c r="CG139" s="7">
        <f>CF139-AJ139</f>
        <v>43</v>
      </c>
      <c r="CH139" s="1" t="s">
        <v>1469</v>
      </c>
      <c r="CI139" s="12" t="s">
        <v>183</v>
      </c>
      <c r="CJ139" s="17" t="s">
        <v>182</v>
      </c>
      <c r="CK139" s="1" t="s">
        <v>1284</v>
      </c>
      <c r="CL139" s="1" t="s">
        <v>280</v>
      </c>
      <c r="CM139" s="1">
        <v>0</v>
      </c>
      <c r="CN139" s="12" t="str">
        <f>MID(CK139,4,1)</f>
        <v>2</v>
      </c>
      <c r="CO139" s="1" t="s">
        <v>650</v>
      </c>
      <c r="CP139" s="1">
        <v>2</v>
      </c>
      <c r="CQ139" s="1" t="s">
        <v>1468</v>
      </c>
      <c r="CR139" s="1">
        <v>1.6</v>
      </c>
      <c r="CS139" s="1" t="s">
        <v>1014</v>
      </c>
      <c r="CT139" s="1" t="s">
        <v>1346</v>
      </c>
      <c r="CU139" s="1" t="s">
        <v>454</v>
      </c>
      <c r="CV139" s="1">
        <v>0</v>
      </c>
      <c r="CW139" s="1">
        <v>5.9</v>
      </c>
      <c r="CX139" s="1">
        <v>9.1999999999999993</v>
      </c>
      <c r="CY139" s="1">
        <v>0.12</v>
      </c>
      <c r="CZ139" s="1">
        <v>8</v>
      </c>
      <c r="DA139" s="1">
        <v>113</v>
      </c>
      <c r="DB139" s="2">
        <f>CZ139/DA139*100</f>
        <v>7.0796460176991154</v>
      </c>
      <c r="DC139" s="1">
        <v>0</v>
      </c>
      <c r="DD139" s="1">
        <v>0</v>
      </c>
      <c r="DE139" s="1">
        <v>1</v>
      </c>
      <c r="DF139" s="1">
        <v>0</v>
      </c>
      <c r="DG139" s="26" t="s">
        <v>1467</v>
      </c>
      <c r="DH139" s="7">
        <v>0</v>
      </c>
      <c r="DI139" s="7">
        <v>1</v>
      </c>
      <c r="DJ139" s="3">
        <v>43654</v>
      </c>
      <c r="DL139" s="12">
        <f>(DJ139-I139)/365.25*12</f>
        <v>19.022587268993838</v>
      </c>
      <c r="DM139" s="1">
        <v>1</v>
      </c>
      <c r="DN139" s="1" t="s">
        <v>1464</v>
      </c>
      <c r="DO139" s="3">
        <v>43298</v>
      </c>
      <c r="DP139" s="6" t="s">
        <v>1436</v>
      </c>
      <c r="DQ139" s="7">
        <v>0</v>
      </c>
      <c r="DR139" s="3" t="s">
        <v>45</v>
      </c>
      <c r="DS139" s="10">
        <f>IF(DQ139=1, (DR139-$I139)/365.25*12, IF(DQ139=0, $DL139, "ERROR"))</f>
        <v>19.022587268993838</v>
      </c>
      <c r="DT139" s="7">
        <v>0</v>
      </c>
      <c r="DU139" s="7">
        <v>0</v>
      </c>
      <c r="DV139" s="7">
        <v>0</v>
      </c>
      <c r="DW139" s="16">
        <f>DU139*(1-DV139)</f>
        <v>0</v>
      </c>
      <c r="DX139" s="16">
        <f>(1-DU139)*DV139</f>
        <v>0</v>
      </c>
      <c r="DY139" s="16">
        <f>DU139*DV139</f>
        <v>0</v>
      </c>
      <c r="DZ139" s="3" t="s">
        <v>45</v>
      </c>
      <c r="EA139" s="10">
        <f>IF(DT139=1, (DZ139-$I139)/365.25*12, IF(DT139=0, $DL139, "ERROR"))</f>
        <v>19.022587268993838</v>
      </c>
      <c r="EB139" s="7">
        <v>0</v>
      </c>
      <c r="EC139" s="7">
        <v>0</v>
      </c>
      <c r="ED139" s="16">
        <f>1-((1-DQ139)*(1-DT139))</f>
        <v>0</v>
      </c>
      <c r="EE139" s="11" t="s">
        <v>45</v>
      </c>
      <c r="EF139" s="1" t="s">
        <v>1466</v>
      </c>
      <c r="EG139" s="7" t="s">
        <v>49</v>
      </c>
      <c r="EH139" s="1" t="s">
        <v>1465</v>
      </c>
      <c r="EI139" s="1">
        <v>1</v>
      </c>
      <c r="EJ139" s="16">
        <f>(1-DQ139)*DX139*(1-EI139)</f>
        <v>0</v>
      </c>
      <c r="EK139" s="3">
        <v>43298</v>
      </c>
      <c r="EL139" s="10">
        <f>IF(EI139=1, (EK139-$I139)/365.25*12, IF(EI139=0, $DL139, "ERROR"))</f>
        <v>7.3264887063655024</v>
      </c>
      <c r="EM139" s="1" t="s">
        <v>1464</v>
      </c>
      <c r="EN139" s="7">
        <v>0</v>
      </c>
      <c r="EO139" s="7">
        <v>0</v>
      </c>
      <c r="EP139" s="7">
        <v>0</v>
      </c>
      <c r="EQ139" s="7">
        <v>0</v>
      </c>
      <c r="ER139" s="7">
        <v>0</v>
      </c>
      <c r="ES139" s="7">
        <v>1</v>
      </c>
      <c r="ET139" s="7">
        <v>0</v>
      </c>
      <c r="EU139" s="7">
        <v>0</v>
      </c>
      <c r="EV139" s="7">
        <v>0</v>
      </c>
      <c r="EW139" s="1">
        <f>1-((1-EP139)*(1-ET139)*(1-EU139)*(1-EV139))</f>
        <v>0</v>
      </c>
      <c r="EX139" s="7">
        <v>1</v>
      </c>
      <c r="EY139" s="7">
        <v>0</v>
      </c>
      <c r="EZ139" s="7">
        <v>0</v>
      </c>
      <c r="FA139" s="7">
        <v>0</v>
      </c>
      <c r="FB139" s="1" t="s">
        <v>45</v>
      </c>
      <c r="FC139" s="1">
        <v>1</v>
      </c>
      <c r="FD139" s="1">
        <v>1</v>
      </c>
      <c r="FF139" s="3">
        <v>43661</v>
      </c>
      <c r="FG139" s="3">
        <f>IF(FC139=1, FF139, IF(FD139=1, 44348, DJ139))</f>
        <v>43661</v>
      </c>
      <c r="FH139" s="13">
        <f>(FG139-I139)/365.25*12</f>
        <v>19.252566735112936</v>
      </c>
      <c r="FI139" s="20">
        <f>IF(DM139=1, (DO139-I139)/365.25*12, IF(DM139=0, DL139, "ERROR"))</f>
        <v>7.3264887063655024</v>
      </c>
      <c r="FJ139" s="14">
        <f>IF(OR(DM139,FC139), 1, 0)</f>
        <v>1</v>
      </c>
      <c r="FK139" s="11">
        <f>IF(DM139=1,IF(FC139=1,MIN(DO139,FF139),DO139),IF(FC139=1,FF139,DJ139))</f>
        <v>43298</v>
      </c>
      <c r="FL139" s="13">
        <f>(FK139-$I139)/365.25*12</f>
        <v>7.3264887063655024</v>
      </c>
      <c r="FM139" s="14">
        <f>IF(OR(ED139,FC139), 1, 0)</f>
        <v>1</v>
      </c>
      <c r="FN139" s="11">
        <f>IF(ED139=1,IF(FC139=1,MIN(EE139,FF139),EE139),IF(FC139=1,FF139,DJ139))</f>
        <v>43661</v>
      </c>
      <c r="FO139" s="13">
        <f>(FN139-$I139)/365.25*12</f>
        <v>19.252566735112936</v>
      </c>
      <c r="FP139" s="14">
        <f>IF(OR(EI139,FC139), 1, 0)</f>
        <v>1</v>
      </c>
      <c r="FQ139" s="11">
        <f>IF(EI139=1,IF(FC139=1,MIN(EK139,FF139),EK139),IF(FC139=1,FF139,DJ139))</f>
        <v>43298</v>
      </c>
      <c r="FR139" s="13">
        <f>(FQ139-$I139)/365.25*12</f>
        <v>7.3264887063655024</v>
      </c>
      <c r="FS139" s="1" t="s">
        <v>1463</v>
      </c>
      <c r="FT139" s="1" t="s">
        <v>45</v>
      </c>
      <c r="FU139" s="1">
        <v>0</v>
      </c>
      <c r="FV139" s="1">
        <v>0</v>
      </c>
      <c r="FW139" s="1">
        <v>0</v>
      </c>
      <c r="FX139" s="1">
        <v>0</v>
      </c>
      <c r="GA139" s="1">
        <v>15</v>
      </c>
      <c r="GB139" s="1">
        <v>10</v>
      </c>
      <c r="GC139" s="1">
        <v>1366.8847000000001</v>
      </c>
      <c r="GD139" s="1">
        <v>368.10969999999998</v>
      </c>
      <c r="GE139" s="25">
        <v>10</v>
      </c>
      <c r="GF139" s="25">
        <v>10</v>
      </c>
      <c r="GG139" s="1">
        <v>442.02179999999998</v>
      </c>
      <c r="GH139" s="24">
        <v>83.110900000000001</v>
      </c>
    </row>
    <row r="140" spans="1:190" ht="12.75" customHeight="1">
      <c r="A140" s="1" t="s">
        <v>1500</v>
      </c>
      <c r="B140" s="15" t="s">
        <v>1499</v>
      </c>
      <c r="C140" s="1">
        <v>50247936</v>
      </c>
      <c r="D140" s="1">
        <v>0</v>
      </c>
      <c r="E140" s="1">
        <v>0</v>
      </c>
      <c r="F140" s="1">
        <v>1</v>
      </c>
      <c r="G140" s="12">
        <v>1</v>
      </c>
      <c r="I140" s="3">
        <v>43110</v>
      </c>
      <c r="J140" s="3">
        <v>43087</v>
      </c>
      <c r="K140" s="3">
        <v>18644</v>
      </c>
      <c r="L140" s="5">
        <f>(DAYS360(K140,I140))/365</f>
        <v>66.06575342465753</v>
      </c>
      <c r="M140" s="1" t="s">
        <v>5</v>
      </c>
      <c r="N140" s="1">
        <v>1</v>
      </c>
      <c r="O140" s="1">
        <v>0</v>
      </c>
      <c r="P140" s="1" t="s">
        <v>69</v>
      </c>
      <c r="Q140" s="1">
        <v>1</v>
      </c>
      <c r="R140" s="1" t="s">
        <v>209</v>
      </c>
      <c r="S140" s="1" t="s">
        <v>1498</v>
      </c>
      <c r="T140" s="1" t="s">
        <v>67</v>
      </c>
      <c r="U140" s="1">
        <v>0</v>
      </c>
      <c r="V140" s="1">
        <v>0</v>
      </c>
      <c r="W140" s="1">
        <v>1</v>
      </c>
      <c r="X140" s="1" t="s">
        <v>1497</v>
      </c>
      <c r="Y140" s="1">
        <v>2</v>
      </c>
      <c r="Z140" s="1">
        <v>3</v>
      </c>
      <c r="AA140" s="1" t="s">
        <v>96</v>
      </c>
      <c r="AC140" s="1">
        <v>5</v>
      </c>
      <c r="AD140" s="1" t="s">
        <v>1496</v>
      </c>
      <c r="AE140" s="1" t="s">
        <v>1082</v>
      </c>
      <c r="AF140" s="1">
        <v>1</v>
      </c>
      <c r="AG140" s="1">
        <v>1</v>
      </c>
      <c r="AH140" s="1">
        <v>1</v>
      </c>
      <c r="AI140" s="3">
        <v>43110</v>
      </c>
      <c r="AJ140" s="3">
        <v>43144</v>
      </c>
      <c r="AK140" s="6" t="s">
        <v>1328</v>
      </c>
      <c r="AL140" s="6" t="s">
        <v>250</v>
      </c>
      <c r="AM140" s="1">
        <v>0</v>
      </c>
      <c r="AN140" s="1">
        <v>0</v>
      </c>
      <c r="AO140" s="1">
        <v>0</v>
      </c>
      <c r="AP140" s="1">
        <v>0</v>
      </c>
      <c r="AQ140" s="1">
        <v>1</v>
      </c>
      <c r="AR140" s="1">
        <v>1</v>
      </c>
      <c r="AS140" s="12">
        <f>IF(AND(AM140=0,AU140&lt;=2), 1, 0)</f>
        <v>1</v>
      </c>
      <c r="AT140" s="12">
        <v>1</v>
      </c>
      <c r="AU140" s="1">
        <v>2</v>
      </c>
      <c r="AV140" s="1">
        <v>0.5</v>
      </c>
      <c r="AW140" s="1">
        <v>0.5</v>
      </c>
      <c r="AX140" s="6" t="s">
        <v>45</v>
      </c>
      <c r="AY140" s="6" t="s">
        <v>45</v>
      </c>
      <c r="AZ140" s="1">
        <v>0.7</v>
      </c>
      <c r="BA140" s="1">
        <f>10.5-6.6+0.3</f>
        <v>4.2</v>
      </c>
      <c r="BB140" s="1">
        <v>250.9</v>
      </c>
      <c r="BC140" s="1">
        <v>2</v>
      </c>
      <c r="BD140" s="1">
        <v>2</v>
      </c>
      <c r="BE140" s="1">
        <v>662.8</v>
      </c>
      <c r="BF140" s="1" t="s">
        <v>1495</v>
      </c>
      <c r="BG140" s="1">
        <v>45</v>
      </c>
      <c r="BH140" s="1">
        <v>45</v>
      </c>
      <c r="BI140" s="1">
        <v>0</v>
      </c>
      <c r="BJ140" s="1">
        <v>0</v>
      </c>
      <c r="BK140" s="1">
        <f>BH140+BI140</f>
        <v>45</v>
      </c>
      <c r="BL140" s="1">
        <v>25</v>
      </c>
      <c r="BM140" s="1">
        <v>1.8</v>
      </c>
      <c r="BN140" s="1" t="s">
        <v>62</v>
      </c>
      <c r="BO140" s="1">
        <v>1</v>
      </c>
      <c r="BP140" s="1">
        <v>1</v>
      </c>
      <c r="BQ140" s="1">
        <v>1</v>
      </c>
      <c r="BR140" s="3">
        <v>43110</v>
      </c>
      <c r="BS140" s="1" t="s">
        <v>109</v>
      </c>
      <c r="BT140" s="12" t="s">
        <v>90</v>
      </c>
      <c r="BU140" s="1">
        <v>2</v>
      </c>
      <c r="BV140" s="1">
        <v>1</v>
      </c>
      <c r="BW140" s="1">
        <v>8.15</v>
      </c>
      <c r="BX140" s="1">
        <v>0.70699999999999996</v>
      </c>
      <c r="BY140" s="1">
        <v>0.19900000000000001</v>
      </c>
      <c r="BZ140" s="1">
        <v>13.6</v>
      </c>
      <c r="CA140" s="1">
        <v>236</v>
      </c>
      <c r="CB140" s="1">
        <v>1.93</v>
      </c>
      <c r="CC140" s="1">
        <v>20</v>
      </c>
      <c r="CE140" s="1">
        <v>1</v>
      </c>
      <c r="CF140" s="3">
        <v>43186</v>
      </c>
      <c r="CG140" s="7">
        <f>CF140-AJ140</f>
        <v>42</v>
      </c>
      <c r="CH140" s="1" t="s">
        <v>1469</v>
      </c>
      <c r="CI140" s="12" t="s">
        <v>183</v>
      </c>
      <c r="CJ140" s="17" t="s">
        <v>182</v>
      </c>
      <c r="CK140" s="1" t="s">
        <v>1251</v>
      </c>
      <c r="CL140" s="1" t="s">
        <v>280</v>
      </c>
      <c r="CM140" s="1">
        <v>0</v>
      </c>
      <c r="CN140" s="12" t="str">
        <f>MID(CK140,4,1)</f>
        <v>3</v>
      </c>
      <c r="CO140" s="1" t="s">
        <v>650</v>
      </c>
      <c r="CP140" s="1">
        <v>2</v>
      </c>
      <c r="CQ140" s="1" t="s">
        <v>1494</v>
      </c>
      <c r="CR140" s="1">
        <v>5.4</v>
      </c>
      <c r="CS140" s="1" t="s">
        <v>1014</v>
      </c>
      <c r="CT140" s="1" t="s">
        <v>1493</v>
      </c>
      <c r="CU140" s="1" t="s">
        <v>472</v>
      </c>
      <c r="CV140" s="1">
        <v>0</v>
      </c>
      <c r="CW140" s="1">
        <v>5.6</v>
      </c>
      <c r="CX140" s="1">
        <v>9.3000000000000007</v>
      </c>
      <c r="CY140" s="1">
        <v>0.01</v>
      </c>
      <c r="CZ140" s="1">
        <v>11</v>
      </c>
      <c r="DA140" s="1">
        <v>43</v>
      </c>
      <c r="DB140" s="2">
        <f>CZ140/DA140*100</f>
        <v>25.581395348837212</v>
      </c>
      <c r="DC140" s="1">
        <v>1</v>
      </c>
      <c r="DD140" s="1">
        <v>1</v>
      </c>
      <c r="DE140" s="1">
        <v>1</v>
      </c>
      <c r="DF140" s="1">
        <v>0</v>
      </c>
      <c r="DG140" s="26" t="s">
        <v>1492</v>
      </c>
      <c r="DH140" s="7">
        <v>0</v>
      </c>
      <c r="DI140" s="7">
        <v>1</v>
      </c>
      <c r="DJ140" s="3">
        <v>43642</v>
      </c>
      <c r="DL140" s="12">
        <f>(DJ140-I140)/365.25*12</f>
        <v>17.478439425051334</v>
      </c>
      <c r="DM140" s="1">
        <v>1</v>
      </c>
      <c r="DN140" s="1" t="s">
        <v>1491</v>
      </c>
      <c r="DO140" s="3">
        <v>43428</v>
      </c>
      <c r="DP140" s="6" t="s">
        <v>1452</v>
      </c>
      <c r="DQ140" s="7">
        <v>0</v>
      </c>
      <c r="DR140" s="3" t="s">
        <v>45</v>
      </c>
      <c r="DS140" s="10">
        <f>IF(DQ140=1, (DR140-$I140)/365.25*12, IF(DQ140=0, $DL140, "ERROR"))</f>
        <v>17.478439425051334</v>
      </c>
      <c r="DT140" s="7">
        <v>1</v>
      </c>
      <c r="DU140" s="7">
        <v>1</v>
      </c>
      <c r="DV140" s="7">
        <v>1</v>
      </c>
      <c r="DW140" s="16">
        <f>DU140*(1-DV140)</f>
        <v>0</v>
      </c>
      <c r="DX140" s="16">
        <f>(1-DU140)*DV140</f>
        <v>0</v>
      </c>
      <c r="DY140" s="16">
        <f>DU140*DV140</f>
        <v>1</v>
      </c>
      <c r="DZ140" s="3">
        <v>43428</v>
      </c>
      <c r="EA140" s="10">
        <f>IF(DT140=1, (DZ140-$I140)/365.25*12, IF(DT140=0, $DL140, "ERROR"))</f>
        <v>10.447638603696099</v>
      </c>
      <c r="EB140" s="7">
        <v>1</v>
      </c>
      <c r="EC140" s="7">
        <v>1</v>
      </c>
      <c r="ED140" s="16">
        <f>1-((1-DQ140)*(1-DT140))</f>
        <v>1</v>
      </c>
      <c r="EE140" s="11">
        <f>MIN(DR140,DZ140)</f>
        <v>43428</v>
      </c>
      <c r="EF140" s="1" t="s">
        <v>1490</v>
      </c>
      <c r="EG140" s="7" t="s">
        <v>45</v>
      </c>
      <c r="EH140" s="1" t="s">
        <v>45</v>
      </c>
      <c r="EI140" s="1">
        <v>1</v>
      </c>
      <c r="EJ140" s="16">
        <f>(1-DQ140)*DX140*(1-EI140)</f>
        <v>0</v>
      </c>
      <c r="EK140" s="3">
        <v>43428</v>
      </c>
      <c r="EL140" s="10">
        <f>IF(EI140=1, (EK140-$I140)/365.25*12, IF(EI140=0, $DL140, "ERROR"))</f>
        <v>10.447638603696099</v>
      </c>
      <c r="EM140" s="1" t="s">
        <v>1489</v>
      </c>
      <c r="EN140" s="7">
        <v>0</v>
      </c>
      <c r="EO140" s="7">
        <v>0</v>
      </c>
      <c r="EP140" s="7">
        <v>0</v>
      </c>
      <c r="EQ140" s="7">
        <v>0</v>
      </c>
      <c r="ER140" s="7">
        <v>0</v>
      </c>
      <c r="ES140" s="7">
        <v>1</v>
      </c>
      <c r="ET140" s="7">
        <v>0</v>
      </c>
      <c r="EU140" s="7">
        <v>0</v>
      </c>
      <c r="EV140" s="7">
        <v>0</v>
      </c>
      <c r="EW140" s="1">
        <f>1-((1-EP140)*(1-ET140)*(1-EU140)*(1-EV140))</f>
        <v>0</v>
      </c>
      <c r="EX140" s="7">
        <v>0</v>
      </c>
      <c r="EY140" s="7">
        <v>0</v>
      </c>
      <c r="EZ140" s="7">
        <v>1</v>
      </c>
      <c r="FA140" s="7">
        <v>0</v>
      </c>
      <c r="FB140" s="1" t="s">
        <v>45</v>
      </c>
      <c r="FC140" s="1">
        <v>1</v>
      </c>
      <c r="FD140" s="1">
        <v>1</v>
      </c>
      <c r="FF140" s="3">
        <v>43752</v>
      </c>
      <c r="FG140" s="3">
        <f>IF(FC140=1, FF140, IF(FD140=1, 44348, DJ140))</f>
        <v>43752</v>
      </c>
      <c r="FH140" s="13">
        <f>(FG140-I140)/365.25*12</f>
        <v>21.09240246406571</v>
      </c>
      <c r="FI140" s="20">
        <f>IF(DM140=1, (DO140-I140)/365.25*12, IF(DM140=0, DL140, "ERROR"))</f>
        <v>10.447638603696099</v>
      </c>
      <c r="FJ140" s="14">
        <f>IF(OR(DM140,FC140), 1, 0)</f>
        <v>1</v>
      </c>
      <c r="FK140" s="11">
        <f>IF(DM140=1,IF(FC140=1,MIN(DO140,FF140),DO140),IF(FC140=1,FF140,DJ140))</f>
        <v>43428</v>
      </c>
      <c r="FL140" s="13">
        <f>(FK140-$I140)/365.25*12</f>
        <v>10.447638603696099</v>
      </c>
      <c r="FM140" s="14">
        <f>IF(OR(ED140,FC140), 1, 0)</f>
        <v>1</v>
      </c>
      <c r="FN140" s="11">
        <f>IF(ED140=1,IF(FC140=1,MIN(EE140,FF140),EE140),IF(FC140=1,FF140,DJ140))</f>
        <v>43428</v>
      </c>
      <c r="FO140" s="13">
        <f>(FN140-$I140)/365.25*12</f>
        <v>10.447638603696099</v>
      </c>
      <c r="FP140" s="14">
        <f>IF(OR(EI140,FC140), 1, 0)</f>
        <v>1</v>
      </c>
      <c r="FQ140" s="11">
        <f>IF(EI140=1,IF(FC140=1,MIN(EK140,FF140),EK140),IF(FC140=1,FF140,DJ140))</f>
        <v>43428</v>
      </c>
      <c r="FR140" s="13">
        <f>(FQ140-$I140)/365.25*12</f>
        <v>10.447638603696099</v>
      </c>
      <c r="FS140" s="1" t="s">
        <v>1488</v>
      </c>
      <c r="FT140" s="1" t="s">
        <v>1463</v>
      </c>
      <c r="FU140" s="1">
        <v>0</v>
      </c>
      <c r="FV140" s="1">
        <v>0</v>
      </c>
      <c r="FW140" s="1">
        <v>0</v>
      </c>
      <c r="FX140" s="1">
        <v>0</v>
      </c>
      <c r="GA140" s="1">
        <v>3</v>
      </c>
      <c r="GB140" s="1">
        <v>2</v>
      </c>
      <c r="GC140" s="1">
        <v>412.15030000000002</v>
      </c>
      <c r="GD140" s="1">
        <v>147.9579</v>
      </c>
      <c r="GE140" s="25">
        <v>15</v>
      </c>
      <c r="GF140" s="25">
        <v>15</v>
      </c>
      <c r="GG140" s="1">
        <v>646.92229999999995</v>
      </c>
      <c r="GH140" s="24">
        <v>372.47329999999999</v>
      </c>
    </row>
    <row r="141" spans="1:190" ht="12.75" customHeight="1">
      <c r="A141" s="1" t="s">
        <v>1431</v>
      </c>
      <c r="B141" s="15" t="s">
        <v>1430</v>
      </c>
      <c r="C141" s="1">
        <v>50270330</v>
      </c>
      <c r="D141" s="1">
        <v>0</v>
      </c>
      <c r="E141" s="1">
        <v>0</v>
      </c>
      <c r="F141" s="1">
        <v>1</v>
      </c>
      <c r="G141" s="12">
        <v>1</v>
      </c>
      <c r="I141" s="3">
        <v>43116</v>
      </c>
      <c r="J141" s="3">
        <v>43090</v>
      </c>
      <c r="K141" s="3">
        <v>19316</v>
      </c>
      <c r="L141" s="5">
        <f>(DAYS360(K141,I141))/365</f>
        <v>64.268493150684932</v>
      </c>
      <c r="M141" s="1" t="s">
        <v>5</v>
      </c>
      <c r="N141" s="1">
        <v>1</v>
      </c>
      <c r="O141" s="1">
        <v>0</v>
      </c>
      <c r="P141" s="1" t="s">
        <v>69</v>
      </c>
      <c r="Q141" s="1">
        <v>1</v>
      </c>
      <c r="R141" s="1" t="s">
        <v>209</v>
      </c>
      <c r="S141" s="1">
        <v>32</v>
      </c>
      <c r="T141" s="1" t="s">
        <v>80</v>
      </c>
      <c r="U141" s="1">
        <v>0</v>
      </c>
      <c r="V141" s="1">
        <v>1</v>
      </c>
      <c r="W141" s="1">
        <v>0</v>
      </c>
      <c r="X141" s="1" t="s">
        <v>79</v>
      </c>
      <c r="Y141" s="1">
        <v>3</v>
      </c>
      <c r="Z141" s="1">
        <v>0</v>
      </c>
      <c r="AA141" s="1" t="s">
        <v>65</v>
      </c>
      <c r="AC141" s="1">
        <v>2</v>
      </c>
      <c r="AD141" s="1" t="s">
        <v>64</v>
      </c>
      <c r="AE141" s="1" t="s">
        <v>64</v>
      </c>
      <c r="AF141" s="1">
        <v>0</v>
      </c>
      <c r="AG141" s="1">
        <v>0</v>
      </c>
      <c r="AH141" s="1">
        <v>0</v>
      </c>
      <c r="AI141" s="3">
        <v>43116</v>
      </c>
      <c r="AJ141" s="3">
        <v>43154</v>
      </c>
      <c r="AK141" s="6" t="s">
        <v>1389</v>
      </c>
      <c r="AL141" s="6" t="s">
        <v>250</v>
      </c>
      <c r="AM141" s="1">
        <v>0</v>
      </c>
      <c r="AN141" s="1">
        <v>0</v>
      </c>
      <c r="AO141" s="1">
        <v>0</v>
      </c>
      <c r="AP141" s="1">
        <v>0</v>
      </c>
      <c r="AQ141" s="1">
        <v>1</v>
      </c>
      <c r="AR141" s="1">
        <v>1</v>
      </c>
      <c r="AS141" s="12">
        <f>IF(AND(AM141=0,AU141&lt;=2), 1, 0)</f>
        <v>1</v>
      </c>
      <c r="AT141" s="12">
        <v>1</v>
      </c>
      <c r="AU141" s="1">
        <v>2</v>
      </c>
      <c r="AV141" s="1">
        <v>0.7</v>
      </c>
      <c r="AW141" s="1" t="s">
        <v>45</v>
      </c>
      <c r="AX141" s="6" t="s">
        <v>45</v>
      </c>
      <c r="AY141" s="6" t="s">
        <v>45</v>
      </c>
      <c r="AZ141" s="6" t="s">
        <v>46</v>
      </c>
      <c r="BA141" s="1">
        <f>5.1-1.2+0.3</f>
        <v>4.1999999999999993</v>
      </c>
      <c r="BB141" s="1">
        <v>89.4</v>
      </c>
      <c r="BC141" s="1">
        <v>2</v>
      </c>
      <c r="BD141" s="1">
        <v>2</v>
      </c>
      <c r="BE141" s="1">
        <v>243.2</v>
      </c>
      <c r="BF141" s="1" t="s">
        <v>248</v>
      </c>
      <c r="BG141" s="1">
        <v>45</v>
      </c>
      <c r="BH141" s="1">
        <v>45</v>
      </c>
      <c r="BI141" s="1">
        <v>0</v>
      </c>
      <c r="BJ141" s="1">
        <v>0</v>
      </c>
      <c r="BK141" s="1">
        <f>BH141+BI141</f>
        <v>45</v>
      </c>
      <c r="BL141" s="1">
        <v>25</v>
      </c>
      <c r="BM141" s="1">
        <v>1.8</v>
      </c>
      <c r="BN141" s="1" t="s">
        <v>62</v>
      </c>
      <c r="BO141" s="1">
        <v>1</v>
      </c>
      <c r="BP141" s="1">
        <v>1</v>
      </c>
      <c r="BQ141" s="1">
        <v>1</v>
      </c>
      <c r="BR141" s="3">
        <v>43115</v>
      </c>
      <c r="BS141" s="1" t="s">
        <v>61</v>
      </c>
      <c r="BT141" s="12" t="s">
        <v>60</v>
      </c>
      <c r="BU141" s="1">
        <v>5</v>
      </c>
      <c r="BV141" s="1">
        <v>1</v>
      </c>
      <c r="BW141" s="1">
        <v>6.6</v>
      </c>
      <c r="BX141" s="1">
        <v>0.72399999999999998</v>
      </c>
      <c r="BY141" s="1">
        <v>0.20100000000000001</v>
      </c>
      <c r="BZ141" s="1">
        <v>11.8</v>
      </c>
      <c r="CA141" s="1">
        <v>227</v>
      </c>
      <c r="CB141" s="1">
        <v>1.69</v>
      </c>
      <c r="CC141" s="1">
        <v>10.7</v>
      </c>
      <c r="CD141" s="1">
        <v>10.9</v>
      </c>
      <c r="CE141" s="1">
        <v>1</v>
      </c>
      <c r="CF141" s="3">
        <v>43200</v>
      </c>
      <c r="CG141" s="7">
        <f>CF141-AJ141</f>
        <v>46</v>
      </c>
      <c r="CH141" s="1" t="s">
        <v>1429</v>
      </c>
      <c r="CI141" s="12" t="s">
        <v>730</v>
      </c>
      <c r="CJ141" s="17" t="s">
        <v>182</v>
      </c>
      <c r="CK141" s="1" t="s">
        <v>181</v>
      </c>
      <c r="CL141" s="1" t="s">
        <v>1109</v>
      </c>
      <c r="CM141" s="1">
        <v>0</v>
      </c>
      <c r="CN141" s="12" t="str">
        <f>MID(CK141,4,1)</f>
        <v>3</v>
      </c>
      <c r="CO141" s="1" t="s">
        <v>650</v>
      </c>
      <c r="CP141" s="1">
        <v>2</v>
      </c>
      <c r="CQ141" s="1" t="s">
        <v>1428</v>
      </c>
      <c r="CR141" s="1">
        <v>5</v>
      </c>
      <c r="CS141" s="1" t="s">
        <v>1014</v>
      </c>
      <c r="CT141" s="1" t="s">
        <v>455</v>
      </c>
      <c r="CU141" s="1" t="s">
        <v>1427</v>
      </c>
      <c r="CV141" s="1">
        <v>1</v>
      </c>
      <c r="CW141" s="1">
        <v>1.6</v>
      </c>
      <c r="CX141" s="1">
        <v>2.8</v>
      </c>
      <c r="CY141" s="1">
        <v>0</v>
      </c>
      <c r="CZ141" s="1">
        <v>3</v>
      </c>
      <c r="DA141" s="1">
        <v>47</v>
      </c>
      <c r="DB141" s="2">
        <f>CZ141/DA141*100</f>
        <v>6.3829787234042552</v>
      </c>
      <c r="DC141" s="1">
        <v>0</v>
      </c>
      <c r="DD141" s="1">
        <v>0</v>
      </c>
      <c r="DE141" s="1">
        <v>1</v>
      </c>
      <c r="DF141" s="1">
        <v>0</v>
      </c>
      <c r="DG141" s="26" t="s">
        <v>1426</v>
      </c>
      <c r="DH141" s="7">
        <v>0</v>
      </c>
      <c r="DI141" s="7">
        <v>1</v>
      </c>
      <c r="DJ141" s="3">
        <v>43348</v>
      </c>
      <c r="DL141" s="12">
        <f>(DJ141-I141)/365.25*12</f>
        <v>7.6221765913757702</v>
      </c>
      <c r="DM141" s="1">
        <v>0</v>
      </c>
      <c r="DN141" s="1" t="s">
        <v>45</v>
      </c>
      <c r="DO141" s="1" t="s">
        <v>45</v>
      </c>
      <c r="DP141" s="6" t="s">
        <v>45</v>
      </c>
      <c r="DQ141" s="7">
        <v>0</v>
      </c>
      <c r="DR141" s="3" t="s">
        <v>45</v>
      </c>
      <c r="DS141" s="10">
        <f>IF(DQ141=1, (DR141-$I141)/365.25*12, IF(DQ141=0, $DL141, "ERROR"))</f>
        <v>7.6221765913757702</v>
      </c>
      <c r="DT141" s="7">
        <v>0</v>
      </c>
      <c r="DU141" s="7">
        <v>0</v>
      </c>
      <c r="DV141" s="7">
        <v>0</v>
      </c>
      <c r="DW141" s="16">
        <f>DU141*(1-DV141)</f>
        <v>0</v>
      </c>
      <c r="DX141" s="16">
        <f>(1-DU141)*DV141</f>
        <v>0</v>
      </c>
      <c r="DY141" s="16">
        <f>DU141*DV141</f>
        <v>0</v>
      </c>
      <c r="DZ141" s="3" t="s">
        <v>45</v>
      </c>
      <c r="EA141" s="10">
        <f>IF(DT141=1, (DZ141-$I141)/365.25*12, IF(DT141=0, $DL141, "ERROR"))</f>
        <v>7.6221765913757702</v>
      </c>
      <c r="EB141" s="7">
        <v>0</v>
      </c>
      <c r="EC141" s="7">
        <v>0</v>
      </c>
      <c r="ED141" s="16">
        <f>1-((1-DQ141)*(1-DT141))</f>
        <v>0</v>
      </c>
      <c r="EE141" s="11" t="s">
        <v>45</v>
      </c>
      <c r="EF141" s="1" t="s">
        <v>45</v>
      </c>
      <c r="EG141" s="7" t="s">
        <v>45</v>
      </c>
      <c r="EH141" s="1" t="s">
        <v>45</v>
      </c>
      <c r="EI141" s="1">
        <v>0</v>
      </c>
      <c r="EJ141" s="16">
        <f>(1-DQ141)*DX141*(1-EI141)</f>
        <v>0</v>
      </c>
      <c r="EK141" s="1" t="s">
        <v>45</v>
      </c>
      <c r="EL141" s="10">
        <f>IF(EI141=1, (EK141-$I141)/365.25*12, IF(EI141=0, $DL141, "ERROR"))</f>
        <v>7.6221765913757702</v>
      </c>
      <c r="EM141" s="1" t="s">
        <v>45</v>
      </c>
      <c r="EN141" s="1">
        <v>0</v>
      </c>
      <c r="EO141" s="1">
        <v>0</v>
      </c>
      <c r="EP141" s="1">
        <v>0</v>
      </c>
      <c r="EQ141" s="1">
        <v>0</v>
      </c>
      <c r="ER141" s="1">
        <v>0</v>
      </c>
      <c r="ES141" s="1">
        <v>0</v>
      </c>
      <c r="ET141" s="1">
        <v>0</v>
      </c>
      <c r="EU141" s="1">
        <v>0</v>
      </c>
      <c r="EV141" s="1">
        <v>0</v>
      </c>
      <c r="EW141" s="1">
        <f>1-((1-EP141)*(1-ET141)*(1-EU141)*(1-EV141))</f>
        <v>0</v>
      </c>
      <c r="EX141" s="7">
        <v>0</v>
      </c>
      <c r="EY141" s="7">
        <v>0</v>
      </c>
      <c r="EZ141" s="7">
        <v>0</v>
      </c>
      <c r="FA141" s="7">
        <v>0</v>
      </c>
      <c r="FB141" s="1" t="s">
        <v>45</v>
      </c>
      <c r="FC141" s="1">
        <v>1</v>
      </c>
      <c r="FD141" s="1">
        <v>1</v>
      </c>
      <c r="FE141" s="1" t="s">
        <v>1425</v>
      </c>
      <c r="FF141" s="3" t="s">
        <v>1424</v>
      </c>
      <c r="FG141" s="3">
        <v>43426</v>
      </c>
      <c r="FH141" s="13">
        <f>(FG141-I141)/365.25*12</f>
        <v>10.184804928131417</v>
      </c>
      <c r="FI141" s="20">
        <f>IF(DM141=1, (DO141-I141)/365.25*12, IF(DM141=0, DL141, "ERROR"))</f>
        <v>7.6221765913757702</v>
      </c>
      <c r="FJ141" s="14">
        <f>IF(OR(DM141,FC141), 1, 0)</f>
        <v>1</v>
      </c>
      <c r="FK141" s="11">
        <v>43426</v>
      </c>
      <c r="FL141" s="13">
        <f>(FK141-$I141)/365.25*12</f>
        <v>10.184804928131417</v>
      </c>
      <c r="FM141" s="14">
        <f>IF(OR(ED141,FC141), 1, 0)</f>
        <v>1</v>
      </c>
      <c r="FN141" s="11">
        <v>43426</v>
      </c>
      <c r="FO141" s="13">
        <f>(FN141-$I141)/365.25*12</f>
        <v>10.184804928131417</v>
      </c>
      <c r="FP141" s="14">
        <f>IF(OR(EI141,FC141), 1, 0)</f>
        <v>1</v>
      </c>
      <c r="FQ141" s="11">
        <v>43426</v>
      </c>
      <c r="FR141" s="13">
        <f>(FQ141-$I141)/365.25*12</f>
        <v>10.184804928131417</v>
      </c>
      <c r="FS141" s="1" t="s">
        <v>45</v>
      </c>
      <c r="FT141" s="1" t="s">
        <v>45</v>
      </c>
      <c r="FU141" s="1">
        <v>0</v>
      </c>
      <c r="FV141" s="1">
        <v>0</v>
      </c>
      <c r="FW141" s="1">
        <v>0</v>
      </c>
      <c r="FX141" s="1">
        <v>0</v>
      </c>
      <c r="GA141" s="1">
        <v>3</v>
      </c>
      <c r="GB141" s="1">
        <v>2</v>
      </c>
      <c r="GC141" s="1">
        <v>1489.8855000000001</v>
      </c>
      <c r="GD141" s="1">
        <v>367.6277</v>
      </c>
      <c r="GE141" s="25">
        <v>0.5</v>
      </c>
      <c r="GF141" s="25">
        <v>0.5</v>
      </c>
      <c r="GG141" s="1">
        <v>114.6345</v>
      </c>
      <c r="GH141" s="24">
        <v>1.8877999999999999</v>
      </c>
    </row>
    <row r="142" spans="1:190" ht="12.75" customHeight="1">
      <c r="A142" s="1" t="s">
        <v>1542</v>
      </c>
      <c r="B142" s="15" t="s">
        <v>1541</v>
      </c>
      <c r="C142" s="1">
        <v>50438996</v>
      </c>
      <c r="D142" s="1">
        <v>0</v>
      </c>
      <c r="E142" s="1">
        <v>0</v>
      </c>
      <c r="F142" s="1">
        <v>1</v>
      </c>
      <c r="G142" s="12">
        <v>1</v>
      </c>
      <c r="I142" s="3">
        <v>43173</v>
      </c>
      <c r="J142" s="3">
        <v>43143</v>
      </c>
      <c r="K142" s="3">
        <v>26434</v>
      </c>
      <c r="L142" s="5">
        <f>(DAYS360(K142,I142))/365</f>
        <v>45.202739726027396</v>
      </c>
      <c r="M142" s="1" t="s">
        <v>1</v>
      </c>
      <c r="N142" s="1">
        <v>1</v>
      </c>
      <c r="O142" s="1">
        <v>0</v>
      </c>
      <c r="P142" s="1" t="s">
        <v>161</v>
      </c>
      <c r="Q142" s="1">
        <v>0</v>
      </c>
      <c r="R142" s="1" t="s">
        <v>209</v>
      </c>
      <c r="S142" s="1">
        <v>20</v>
      </c>
      <c r="T142" s="1" t="s">
        <v>140</v>
      </c>
      <c r="U142" s="1">
        <v>1</v>
      </c>
      <c r="V142" s="1">
        <v>0</v>
      </c>
      <c r="W142" s="1">
        <v>0</v>
      </c>
      <c r="X142" s="1" t="s">
        <v>1533</v>
      </c>
      <c r="Y142" s="1">
        <v>3</v>
      </c>
      <c r="Z142" s="1">
        <v>0</v>
      </c>
      <c r="AA142" s="1" t="s">
        <v>65</v>
      </c>
      <c r="AC142" s="1">
        <v>2</v>
      </c>
      <c r="AD142" s="1" t="s">
        <v>64</v>
      </c>
      <c r="AE142" s="1" t="s">
        <v>64</v>
      </c>
      <c r="AF142" s="1">
        <v>0</v>
      </c>
      <c r="AG142" s="1">
        <v>0</v>
      </c>
      <c r="AH142" s="1">
        <v>0</v>
      </c>
      <c r="AI142" s="3">
        <v>43173</v>
      </c>
      <c r="AJ142" s="3">
        <v>43207</v>
      </c>
      <c r="AK142" s="6" t="s">
        <v>1389</v>
      </c>
      <c r="AL142" s="6" t="s">
        <v>1485</v>
      </c>
      <c r="AM142" s="1">
        <v>1</v>
      </c>
      <c r="AN142" s="1">
        <v>0</v>
      </c>
      <c r="AO142" s="1">
        <v>1</v>
      </c>
      <c r="AP142" s="1">
        <v>0</v>
      </c>
      <c r="AQ142" s="1">
        <v>0</v>
      </c>
      <c r="AR142" s="1">
        <v>0</v>
      </c>
      <c r="AS142" s="12">
        <f>IF(AND(AM142=0,AU142&lt;=2), 1, 0)</f>
        <v>0</v>
      </c>
      <c r="AT142" s="12">
        <v>1</v>
      </c>
      <c r="AU142" s="1">
        <v>2</v>
      </c>
      <c r="AV142" s="1">
        <v>0.5</v>
      </c>
      <c r="AW142" s="1"/>
      <c r="AX142" s="6" t="s">
        <v>45</v>
      </c>
      <c r="AY142" s="6" t="s">
        <v>45</v>
      </c>
      <c r="AZ142" s="1">
        <v>0.7</v>
      </c>
      <c r="BA142" s="1">
        <f>2.1+1.8+0.3</f>
        <v>4.2</v>
      </c>
      <c r="BB142" s="1">
        <v>140.1</v>
      </c>
      <c r="BC142" s="1">
        <v>2</v>
      </c>
      <c r="BD142" s="1">
        <v>2</v>
      </c>
      <c r="BE142" s="1">
        <v>307.5</v>
      </c>
      <c r="BF142" s="1" t="s">
        <v>883</v>
      </c>
      <c r="BG142" s="1">
        <v>45</v>
      </c>
      <c r="BH142" s="1">
        <v>45</v>
      </c>
      <c r="BI142" s="1">
        <v>0</v>
      </c>
      <c r="BJ142" s="1">
        <v>0</v>
      </c>
      <c r="BK142" s="1">
        <f>BH142+BI142</f>
        <v>45</v>
      </c>
      <c r="BL142" s="1">
        <v>25</v>
      </c>
      <c r="BM142" s="1">
        <v>1.8</v>
      </c>
      <c r="BN142" s="1" t="s">
        <v>62</v>
      </c>
      <c r="BO142" s="1">
        <v>1</v>
      </c>
      <c r="BP142" s="1">
        <v>1</v>
      </c>
      <c r="BQ142" s="1">
        <v>1</v>
      </c>
      <c r="BR142" s="3">
        <v>43173</v>
      </c>
      <c r="BS142" s="1" t="s">
        <v>61</v>
      </c>
      <c r="BT142" s="12" t="s">
        <v>60</v>
      </c>
      <c r="BU142" s="1">
        <v>5</v>
      </c>
      <c r="BV142" s="1">
        <v>1</v>
      </c>
      <c r="BW142" s="1">
        <v>8.2200000000000006</v>
      </c>
      <c r="BX142" s="1">
        <v>0.76300000000000001</v>
      </c>
      <c r="BY142" s="1">
        <v>0.17</v>
      </c>
      <c r="BZ142" s="1">
        <v>11.3</v>
      </c>
      <c r="CA142" s="1">
        <v>137</v>
      </c>
      <c r="CB142" s="1">
        <v>1.62</v>
      </c>
      <c r="CC142" s="1">
        <v>20.9</v>
      </c>
      <c r="CD142" s="1">
        <v>5.9</v>
      </c>
      <c r="CE142" s="1">
        <v>1</v>
      </c>
      <c r="CF142" s="3">
        <v>43270</v>
      </c>
      <c r="CG142" s="7">
        <f>CF142-AJ142</f>
        <v>63</v>
      </c>
      <c r="CH142" s="1" t="s">
        <v>1540</v>
      </c>
      <c r="CI142" s="17" t="s">
        <v>460</v>
      </c>
      <c r="CJ142" s="17" t="s">
        <v>182</v>
      </c>
      <c r="CK142" s="1" t="s">
        <v>811</v>
      </c>
      <c r="CL142" s="1" t="s">
        <v>45</v>
      </c>
      <c r="CM142" s="1">
        <v>1</v>
      </c>
      <c r="CN142" s="12" t="str">
        <f>MID(CK142,4,1)</f>
        <v>0</v>
      </c>
      <c r="CO142" s="1" t="s">
        <v>1025</v>
      </c>
      <c r="CP142" s="1">
        <v>0</v>
      </c>
      <c r="CQ142" s="1" t="s">
        <v>45</v>
      </c>
      <c r="CR142" s="1">
        <v>0</v>
      </c>
      <c r="CS142" s="1" t="s">
        <v>45</v>
      </c>
      <c r="CT142" s="1" t="s">
        <v>45</v>
      </c>
      <c r="CU142" s="1" t="s">
        <v>45</v>
      </c>
      <c r="CV142" s="1">
        <v>0</v>
      </c>
      <c r="CW142" s="1" t="s">
        <v>45</v>
      </c>
      <c r="CX142" s="1" t="s">
        <v>45</v>
      </c>
      <c r="CY142" s="1" t="s">
        <v>45</v>
      </c>
      <c r="CZ142" s="1">
        <v>0</v>
      </c>
      <c r="DA142" s="1">
        <v>62</v>
      </c>
      <c r="DB142" s="2">
        <f>CZ142/DA142*100</f>
        <v>0</v>
      </c>
      <c r="DC142" s="1">
        <v>0</v>
      </c>
      <c r="DD142" s="1">
        <v>0</v>
      </c>
      <c r="DE142" s="1">
        <v>0</v>
      </c>
      <c r="DF142" s="1">
        <v>0</v>
      </c>
      <c r="DG142" s="26" t="s">
        <v>1539</v>
      </c>
      <c r="DH142" s="7">
        <v>0</v>
      </c>
      <c r="DI142" s="7">
        <v>0</v>
      </c>
      <c r="DJ142" s="3">
        <v>44769</v>
      </c>
      <c r="DK142" s="1" t="s">
        <v>75</v>
      </c>
      <c r="DL142" s="12">
        <f>(DJ142-I142)/365.25*12</f>
        <v>52.435318275154003</v>
      </c>
      <c r="DM142" s="1">
        <v>0</v>
      </c>
      <c r="DN142" s="1" t="s">
        <v>45</v>
      </c>
      <c r="DO142" s="1" t="s">
        <v>45</v>
      </c>
      <c r="DP142" s="6" t="s">
        <v>45</v>
      </c>
      <c r="DQ142" s="7">
        <v>0</v>
      </c>
      <c r="DR142" s="3" t="s">
        <v>45</v>
      </c>
      <c r="DS142" s="10">
        <f>IF(DQ142=1, (DR142-$I142)/365.25*12, IF(DQ142=0, $DL142, "ERROR"))</f>
        <v>52.435318275154003</v>
      </c>
      <c r="DT142" s="7">
        <v>0</v>
      </c>
      <c r="DU142" s="7">
        <v>0</v>
      </c>
      <c r="DV142" s="7">
        <v>0</v>
      </c>
      <c r="DW142" s="16">
        <f>DU142*(1-DV142)</f>
        <v>0</v>
      </c>
      <c r="DX142" s="16">
        <f>(1-DU142)*DV142</f>
        <v>0</v>
      </c>
      <c r="DY142" s="16">
        <f>DU142*DV142</f>
        <v>0</v>
      </c>
      <c r="DZ142" s="3" t="s">
        <v>45</v>
      </c>
      <c r="EA142" s="10">
        <f>IF(DT142=1, (DZ142-$I142)/365.25*12, IF(DT142=0, $DL142, "ERROR"))</f>
        <v>52.435318275154003</v>
      </c>
      <c r="EB142" s="7">
        <v>0</v>
      </c>
      <c r="EC142" s="7">
        <v>0</v>
      </c>
      <c r="ED142" s="16">
        <f>1-((1-DQ142)*(1-DT142))</f>
        <v>0</v>
      </c>
      <c r="EE142" s="11" t="s">
        <v>45</v>
      </c>
      <c r="EF142" s="1" t="s">
        <v>45</v>
      </c>
      <c r="EG142" s="7" t="s">
        <v>45</v>
      </c>
      <c r="EH142" s="1" t="s">
        <v>45</v>
      </c>
      <c r="EI142" s="1">
        <v>0</v>
      </c>
      <c r="EJ142" s="16">
        <f>(1-DQ142)*DX142*(1-EI142)</f>
        <v>0</v>
      </c>
      <c r="EK142" s="1" t="s">
        <v>45</v>
      </c>
      <c r="EL142" s="10">
        <f>IF(EI142=1, (EK142-$I142)/365.25*12, IF(EI142=0, $DL142, "ERROR"))</f>
        <v>52.435318275154003</v>
      </c>
      <c r="EM142" s="1" t="s">
        <v>45</v>
      </c>
      <c r="EN142" s="1">
        <v>0</v>
      </c>
      <c r="EO142" s="1">
        <v>0</v>
      </c>
      <c r="EP142" s="1">
        <v>0</v>
      </c>
      <c r="EQ142" s="1">
        <v>0</v>
      </c>
      <c r="ER142" s="1">
        <v>0</v>
      </c>
      <c r="ES142" s="1">
        <v>0</v>
      </c>
      <c r="ET142" s="1">
        <v>0</v>
      </c>
      <c r="EU142" s="1">
        <v>0</v>
      </c>
      <c r="EV142" s="1">
        <v>0</v>
      </c>
      <c r="EW142" s="1">
        <f>1-((1-EP142)*(1-ET142)*(1-EU142)*(1-EV142))</f>
        <v>0</v>
      </c>
      <c r="EX142" s="7">
        <v>0</v>
      </c>
      <c r="EY142" s="7">
        <v>0</v>
      </c>
      <c r="EZ142" s="7">
        <v>0</v>
      </c>
      <c r="FA142" s="7">
        <v>0</v>
      </c>
      <c r="FB142" s="1" t="s">
        <v>45</v>
      </c>
      <c r="FC142" s="1">
        <v>0</v>
      </c>
      <c r="FD142" s="1">
        <v>1</v>
      </c>
      <c r="FF142" s="1" t="s">
        <v>45</v>
      </c>
      <c r="FG142" s="3">
        <f>IF(FC142=1, FF142, IF(FD142=1, 44348, DJ142))</f>
        <v>44348</v>
      </c>
      <c r="FH142" s="13">
        <f>(FG142-I142)/365.25*12</f>
        <v>38.603696098562622</v>
      </c>
      <c r="FI142" s="20">
        <f>IF(DM142=1, (DO142-I142)/365.25*12, IF(DM142=0, DL142, "ERROR"))</f>
        <v>52.435318275154003</v>
      </c>
      <c r="FJ142" s="14">
        <f>IF(OR(DM142,FC142), 1, 0)</f>
        <v>0</v>
      </c>
      <c r="FK142" s="11">
        <f>IF(DM142=1,IF(FC142=1,MIN(DO142,FF142),DO142),IF(FC142=1,FF142,DJ142))</f>
        <v>44769</v>
      </c>
      <c r="FL142" s="13">
        <f>(FK142-$I142)/365.25*12</f>
        <v>52.435318275154003</v>
      </c>
      <c r="FM142" s="14">
        <f>IF(OR(ED142,FC142), 1, 0)</f>
        <v>0</v>
      </c>
      <c r="FN142" s="11">
        <f>IF(ED142=1,IF(FC142=1,MIN(EE142,FF142),EE142),IF(FC142=1,FF142,DJ142))</f>
        <v>44769</v>
      </c>
      <c r="FO142" s="13">
        <f>(FN142-$I142)/365.25*12</f>
        <v>52.435318275154003</v>
      </c>
      <c r="FP142" s="14">
        <f>IF(OR(EI142,FC142), 1, 0)</f>
        <v>0</v>
      </c>
      <c r="FQ142" s="11">
        <f>IF(EI142=1,IF(FC142=1,MIN(EK142,FF142),EK142),IF(FC142=1,FF142,DJ142))</f>
        <v>44769</v>
      </c>
      <c r="FR142" s="13">
        <f>(FQ142-$I142)/365.25*12</f>
        <v>52.435318275154003</v>
      </c>
      <c r="FS142" s="1" t="s">
        <v>1538</v>
      </c>
      <c r="FT142" s="1" t="s">
        <v>1463</v>
      </c>
      <c r="FU142" s="1">
        <v>0</v>
      </c>
      <c r="FV142" s="1">
        <v>0</v>
      </c>
      <c r="FW142" s="1">
        <v>0</v>
      </c>
      <c r="FX142" s="1">
        <v>0</v>
      </c>
      <c r="FY142" s="26" t="s">
        <v>1537</v>
      </c>
      <c r="GA142" s="1">
        <v>1</v>
      </c>
      <c r="GB142" s="1">
        <v>1</v>
      </c>
      <c r="GC142" s="1">
        <v>327.98719999999997</v>
      </c>
      <c r="GD142" s="1">
        <v>76.868700000000004</v>
      </c>
      <c r="GE142" s="25">
        <v>0</v>
      </c>
      <c r="GF142" s="25">
        <v>0</v>
      </c>
      <c r="GG142" s="1">
        <v>303.2901</v>
      </c>
      <c r="GH142" s="24">
        <v>91.650499999999994</v>
      </c>
    </row>
    <row r="143" spans="1:190" ht="12.75" customHeight="1">
      <c r="A143" s="1" t="s">
        <v>1462</v>
      </c>
      <c r="B143" s="15" t="s">
        <v>1461</v>
      </c>
      <c r="C143" s="1">
        <v>50481279</v>
      </c>
      <c r="D143" s="1">
        <v>0</v>
      </c>
      <c r="E143" s="1">
        <v>0</v>
      </c>
      <c r="F143" s="1">
        <v>1</v>
      </c>
      <c r="G143" s="12">
        <v>1</v>
      </c>
      <c r="I143" s="3">
        <v>43173</v>
      </c>
      <c r="J143" s="3">
        <v>43139</v>
      </c>
      <c r="K143" s="3">
        <v>19569</v>
      </c>
      <c r="L143" s="5">
        <f>(DAYS360(K143,I143))/365</f>
        <v>63.739726027397261</v>
      </c>
      <c r="M143" s="1" t="s">
        <v>5</v>
      </c>
      <c r="N143" s="1">
        <v>1</v>
      </c>
      <c r="O143" s="1">
        <v>0</v>
      </c>
      <c r="P143" s="1" t="s">
        <v>69</v>
      </c>
      <c r="Q143" s="1">
        <v>1</v>
      </c>
      <c r="R143" s="1" t="s">
        <v>209</v>
      </c>
      <c r="S143" s="1">
        <v>30</v>
      </c>
      <c r="T143" s="1" t="s">
        <v>80</v>
      </c>
      <c r="U143" s="1">
        <v>0</v>
      </c>
      <c r="V143" s="1">
        <v>1</v>
      </c>
      <c r="W143" s="1">
        <v>0</v>
      </c>
      <c r="X143" s="1" t="s">
        <v>1113</v>
      </c>
      <c r="Y143" s="1">
        <v>2</v>
      </c>
      <c r="Z143" s="1">
        <v>0</v>
      </c>
      <c r="AA143" s="1" t="s">
        <v>96</v>
      </c>
      <c r="AC143" s="1">
        <v>5</v>
      </c>
      <c r="AD143" s="1" t="s">
        <v>1460</v>
      </c>
      <c r="AE143" s="1" t="s">
        <v>1082</v>
      </c>
      <c r="AF143" s="1">
        <v>1</v>
      </c>
      <c r="AG143" s="1">
        <v>1</v>
      </c>
      <c r="AH143" s="1">
        <v>0</v>
      </c>
      <c r="AI143" s="3">
        <v>43173</v>
      </c>
      <c r="AJ143" s="3">
        <v>43210</v>
      </c>
      <c r="AK143" s="6" t="s">
        <v>1459</v>
      </c>
      <c r="AL143" s="6" t="s">
        <v>1458</v>
      </c>
      <c r="AM143" s="1">
        <v>1</v>
      </c>
      <c r="AN143" s="1">
        <v>1</v>
      </c>
      <c r="AO143" s="1">
        <v>1</v>
      </c>
      <c r="AP143" s="1">
        <v>0</v>
      </c>
      <c r="AQ143" s="1">
        <v>0</v>
      </c>
      <c r="AR143" s="1">
        <v>0</v>
      </c>
      <c r="AS143" s="12">
        <f>IF(AND(AM143=0,AU143&lt;=2), 1, 0)</f>
        <v>0</v>
      </c>
      <c r="AT143" s="12">
        <v>0</v>
      </c>
      <c r="AU143" s="1">
        <v>2</v>
      </c>
      <c r="AV143" s="1">
        <v>0.5</v>
      </c>
      <c r="AW143" s="1"/>
      <c r="AX143" s="6" t="s">
        <v>45</v>
      </c>
      <c r="AY143" s="6" t="s">
        <v>45</v>
      </c>
      <c r="AZ143" s="1">
        <v>0.7</v>
      </c>
      <c r="BA143" s="1">
        <f>12.3-8.4+0.3</f>
        <v>4.2</v>
      </c>
      <c r="BB143" s="1">
        <v>290.10000000000002</v>
      </c>
      <c r="BC143" s="1">
        <f>8.1+1.8+0.3</f>
        <v>10.200000000000001</v>
      </c>
      <c r="BD143" s="1">
        <v>2</v>
      </c>
      <c r="BE143" s="1">
        <v>583.5</v>
      </c>
      <c r="BF143" s="1" t="s">
        <v>1457</v>
      </c>
      <c r="BG143" s="1">
        <v>45</v>
      </c>
      <c r="BH143" s="1">
        <v>45</v>
      </c>
      <c r="BI143" s="1">
        <v>0</v>
      </c>
      <c r="BJ143" s="1">
        <v>0</v>
      </c>
      <c r="BK143" s="1">
        <f>BH143+BI143</f>
        <v>45</v>
      </c>
      <c r="BL143" s="1">
        <v>25</v>
      </c>
      <c r="BM143" s="1">
        <v>1.8</v>
      </c>
      <c r="BN143" s="1" t="s">
        <v>62</v>
      </c>
      <c r="BO143" s="1">
        <v>1</v>
      </c>
      <c r="BP143" s="1">
        <v>1</v>
      </c>
      <c r="BQ143" s="1">
        <v>1</v>
      </c>
      <c r="BR143" s="3">
        <v>43173</v>
      </c>
      <c r="BS143" s="1" t="s">
        <v>61</v>
      </c>
      <c r="BT143" s="12" t="s">
        <v>60</v>
      </c>
      <c r="BU143" s="1">
        <v>5</v>
      </c>
      <c r="BV143" s="1">
        <v>1</v>
      </c>
      <c r="BW143" s="1">
        <v>6.8</v>
      </c>
      <c r="BX143" s="1">
        <v>0.63</v>
      </c>
      <c r="BY143" s="1">
        <v>0.24299999999999999</v>
      </c>
      <c r="BZ143" s="1">
        <v>13.2</v>
      </c>
      <c r="CA143" s="1">
        <v>208</v>
      </c>
      <c r="CB143" s="1">
        <v>1.69</v>
      </c>
      <c r="CC143" s="1">
        <v>27.2</v>
      </c>
      <c r="CE143" s="1">
        <v>1</v>
      </c>
      <c r="CF143" s="3">
        <v>43272</v>
      </c>
      <c r="CG143" s="7">
        <f>CF143-AJ143</f>
        <v>62</v>
      </c>
      <c r="CH143" s="1" t="s">
        <v>1456</v>
      </c>
      <c r="CI143" s="12" t="s">
        <v>183</v>
      </c>
      <c r="CJ143" s="17" t="s">
        <v>182</v>
      </c>
      <c r="CK143" s="1" t="s">
        <v>1455</v>
      </c>
      <c r="CL143" s="1" t="s">
        <v>96</v>
      </c>
      <c r="CM143" s="1">
        <v>0</v>
      </c>
      <c r="CN143" s="12" t="str">
        <f>MID(CK143,4,1)</f>
        <v>0</v>
      </c>
      <c r="CO143" s="1" t="s">
        <v>1004</v>
      </c>
      <c r="CP143" s="1">
        <v>1</v>
      </c>
      <c r="CQ143" s="1" t="s">
        <v>45</v>
      </c>
      <c r="CR143" s="1">
        <v>0</v>
      </c>
      <c r="CS143" s="1" t="s">
        <v>45</v>
      </c>
      <c r="CT143" s="1" t="s">
        <v>45</v>
      </c>
      <c r="CU143" s="1" t="s">
        <v>45</v>
      </c>
      <c r="CV143" s="1">
        <v>0</v>
      </c>
      <c r="CW143" s="1" t="s">
        <v>45</v>
      </c>
      <c r="CX143" s="1" t="s">
        <v>45</v>
      </c>
      <c r="CY143" s="1" t="s">
        <v>45</v>
      </c>
      <c r="CZ143" s="1">
        <v>1</v>
      </c>
      <c r="DA143" s="1">
        <v>99</v>
      </c>
      <c r="DB143" s="2">
        <f>CZ143/DA143*100</f>
        <v>1.0101010101010102</v>
      </c>
      <c r="DC143" s="1">
        <v>0</v>
      </c>
      <c r="DD143" s="1">
        <v>1</v>
      </c>
      <c r="DE143" s="1">
        <v>0</v>
      </c>
      <c r="DF143" s="1">
        <v>0</v>
      </c>
      <c r="DG143" s="26" t="s">
        <v>1454</v>
      </c>
      <c r="DH143" s="7">
        <v>0</v>
      </c>
      <c r="DI143" s="7">
        <v>0</v>
      </c>
      <c r="DJ143" s="3">
        <v>43399</v>
      </c>
      <c r="DK143" s="1" t="s">
        <v>339</v>
      </c>
      <c r="DL143" s="12">
        <f>(DJ143-I143)/365.25*12</f>
        <v>7.4250513347022586</v>
      </c>
      <c r="DM143" s="1">
        <v>1</v>
      </c>
      <c r="DN143" s="1" t="s">
        <v>1453</v>
      </c>
      <c r="DO143" s="3">
        <v>43335</v>
      </c>
      <c r="DP143" s="6" t="s">
        <v>1452</v>
      </c>
      <c r="DQ143" s="7">
        <v>0</v>
      </c>
      <c r="DR143" s="3" t="s">
        <v>45</v>
      </c>
      <c r="DS143" s="10">
        <f>IF(DQ143=1, (DR143-$I143)/365.25*12, IF(DQ143=0, $DL143, "ERROR"))</f>
        <v>7.4250513347022586</v>
      </c>
      <c r="DT143" s="7">
        <v>1</v>
      </c>
      <c r="DU143" s="7">
        <v>1</v>
      </c>
      <c r="DV143" s="7">
        <v>0</v>
      </c>
      <c r="DW143" s="16">
        <f>DU143*(1-DV143)</f>
        <v>1</v>
      </c>
      <c r="DX143" s="16">
        <f>(1-DU143)*DV143</f>
        <v>0</v>
      </c>
      <c r="DY143" s="16">
        <f>DU143*DV143</f>
        <v>0</v>
      </c>
      <c r="DZ143" s="3">
        <v>43335</v>
      </c>
      <c r="EA143" s="10">
        <f>IF(DT143=1, (DZ143-$I143)/365.25*12, IF(DT143=0, $DL143, "ERROR"))</f>
        <v>5.3223819301848057</v>
      </c>
      <c r="EB143" s="7">
        <v>1</v>
      </c>
      <c r="EC143" s="7">
        <v>0</v>
      </c>
      <c r="ED143" s="16">
        <f>1-((1-DQ143)*(1-DT143))</f>
        <v>1</v>
      </c>
      <c r="EE143" s="11">
        <f>MIN(DR143,DZ143)</f>
        <v>43335</v>
      </c>
      <c r="EF143" s="1" t="s">
        <v>1451</v>
      </c>
      <c r="EG143" s="7" t="s">
        <v>45</v>
      </c>
      <c r="EH143" s="1" t="s">
        <v>45</v>
      </c>
      <c r="EI143" s="1">
        <v>1</v>
      </c>
      <c r="EJ143" s="16">
        <f>(1-DQ143)*DX143*(1-EI143)</f>
        <v>0</v>
      </c>
      <c r="EK143" s="3">
        <v>43335</v>
      </c>
      <c r="EL143" s="10">
        <f>IF(EI143=1, (EK143-$I143)/365.25*12, IF(EI143=0, $DL143, "ERROR"))</f>
        <v>5.3223819301848057</v>
      </c>
      <c r="EM143" s="1" t="s">
        <v>1450</v>
      </c>
      <c r="EN143" s="7">
        <v>1</v>
      </c>
      <c r="EO143" s="7">
        <v>1</v>
      </c>
      <c r="EP143" s="7">
        <v>0</v>
      </c>
      <c r="EQ143" s="7">
        <v>0</v>
      </c>
      <c r="ER143" s="7">
        <v>0</v>
      </c>
      <c r="ES143" s="7">
        <v>1</v>
      </c>
      <c r="ET143" s="7">
        <v>0</v>
      </c>
      <c r="EU143" s="7">
        <v>0</v>
      </c>
      <c r="EV143" s="7">
        <v>0</v>
      </c>
      <c r="EW143" s="1">
        <f>1-((1-EP143)*(1-ET143)*(1-EU143)*(1-EV143))</f>
        <v>0</v>
      </c>
      <c r="EX143" s="7">
        <v>1</v>
      </c>
      <c r="EY143" s="7">
        <v>1</v>
      </c>
      <c r="EZ143" s="7">
        <v>0</v>
      </c>
      <c r="FA143" s="7">
        <v>0</v>
      </c>
      <c r="FB143" s="1" t="s">
        <v>45</v>
      </c>
      <c r="FC143" s="1">
        <v>1</v>
      </c>
      <c r="FD143" s="1">
        <v>1</v>
      </c>
      <c r="FE143" s="1" t="s">
        <v>1449</v>
      </c>
      <c r="FF143" s="3" t="s">
        <v>1448</v>
      </c>
      <c r="FG143" s="3">
        <v>43399</v>
      </c>
      <c r="FH143" s="13">
        <f>(FG143-I143)/365.25*12</f>
        <v>7.4250513347022586</v>
      </c>
      <c r="FI143" s="20">
        <f>IF(DM143=1, (DO143-I143)/365.25*12, IF(DM143=0, DL143, "ERROR"))</f>
        <v>5.3223819301848057</v>
      </c>
      <c r="FJ143" s="14">
        <f>IF(OR(DM143,FC143), 1, 0)</f>
        <v>1</v>
      </c>
      <c r="FK143" s="11">
        <f>IF(DM143=1,IF(FC143=1,MIN(DO143,FF143),DO143),IF(FC143=1,FF143,DJ143))</f>
        <v>43335</v>
      </c>
      <c r="FL143" s="13">
        <f>(FK143-$I143)/365.25*12</f>
        <v>5.3223819301848057</v>
      </c>
      <c r="FM143" s="14">
        <f>IF(OR(ED143,FC143), 1, 0)</f>
        <v>1</v>
      </c>
      <c r="FN143" s="11">
        <f>IF(ED143=1,IF(FC143=1,MIN(EE143,FF143),EE143),IF(FC143=1,FF143,DJ143))</f>
        <v>43335</v>
      </c>
      <c r="FO143" s="13">
        <f>(FN143-$I143)/365.25*12</f>
        <v>5.3223819301848057</v>
      </c>
      <c r="FP143" s="14">
        <f>IF(OR(EI143,FC143), 1, 0)</f>
        <v>1</v>
      </c>
      <c r="FQ143" s="11">
        <f>IF(EI143=1,IF(FC143=1,MIN(EK143,FF143),EK143),IF(FC143=1,FF143,DJ143))</f>
        <v>43335</v>
      </c>
      <c r="FR143" s="13">
        <f>(FQ143-$I143)/365.25*12</f>
        <v>5.3223819301848057</v>
      </c>
      <c r="FS143" s="1" t="s">
        <v>45</v>
      </c>
      <c r="FT143" s="1" t="s">
        <v>1447</v>
      </c>
      <c r="FU143" s="1">
        <v>0</v>
      </c>
      <c r="FV143" s="1">
        <v>0</v>
      </c>
      <c r="FW143" s="1">
        <v>0</v>
      </c>
      <c r="FX143" s="1">
        <v>0</v>
      </c>
      <c r="GA143" s="1">
        <v>3</v>
      </c>
      <c r="GB143" s="1">
        <v>2</v>
      </c>
      <c r="GC143" s="1">
        <v>217.4436</v>
      </c>
      <c r="GD143" s="1">
        <v>41.5792</v>
      </c>
      <c r="GE143" s="25">
        <v>0</v>
      </c>
      <c r="GF143" s="25">
        <v>0</v>
      </c>
      <c r="GG143" s="1">
        <v>296.19990000000001</v>
      </c>
      <c r="GH143" s="24">
        <v>165.23220000000001</v>
      </c>
    </row>
    <row r="144" spans="1:190" ht="12.75" customHeight="1">
      <c r="A144" s="1" t="s">
        <v>1324</v>
      </c>
      <c r="B144" s="15" t="s">
        <v>1323</v>
      </c>
      <c r="C144" s="1">
        <v>50740947</v>
      </c>
      <c r="D144" s="1">
        <v>0</v>
      </c>
      <c r="E144" s="1">
        <v>0</v>
      </c>
      <c r="F144" s="1">
        <v>1</v>
      </c>
      <c r="G144" s="12">
        <v>1</v>
      </c>
      <c r="I144" s="3">
        <v>43236</v>
      </c>
      <c r="J144" s="3">
        <v>43207</v>
      </c>
      <c r="K144" s="3">
        <v>20078</v>
      </c>
      <c r="L144" s="5">
        <f>(DAYS360(K144,I144))/365</f>
        <v>62.536986301369865</v>
      </c>
      <c r="M144" s="1" t="s">
        <v>5</v>
      </c>
      <c r="N144" s="1">
        <v>1</v>
      </c>
      <c r="O144" s="1">
        <v>0</v>
      </c>
      <c r="P144" s="1" t="s">
        <v>69</v>
      </c>
      <c r="Q144" s="1">
        <v>1</v>
      </c>
      <c r="R144" s="1" t="s">
        <v>209</v>
      </c>
      <c r="S144" s="1">
        <v>30</v>
      </c>
      <c r="T144" s="1" t="s">
        <v>80</v>
      </c>
      <c r="U144" s="1">
        <v>0</v>
      </c>
      <c r="V144" s="1">
        <v>1</v>
      </c>
      <c r="W144" s="1">
        <v>0</v>
      </c>
      <c r="X144" s="1" t="s">
        <v>117</v>
      </c>
      <c r="Y144" s="1">
        <v>3</v>
      </c>
      <c r="Z144" s="1">
        <v>1</v>
      </c>
      <c r="AA144" s="1" t="s">
        <v>116</v>
      </c>
      <c r="AC144" s="1">
        <v>3</v>
      </c>
      <c r="AD144" s="1" t="s">
        <v>1322</v>
      </c>
      <c r="AE144" s="1" t="s">
        <v>114</v>
      </c>
      <c r="AF144" s="1">
        <v>0</v>
      </c>
      <c r="AG144" s="1">
        <v>0</v>
      </c>
      <c r="AH144" s="1">
        <v>0</v>
      </c>
      <c r="AI144" s="3">
        <v>43236</v>
      </c>
      <c r="AJ144" s="3">
        <v>43276</v>
      </c>
      <c r="AK144" s="6" t="s">
        <v>1321</v>
      </c>
      <c r="AL144" s="6" t="s">
        <v>1320</v>
      </c>
      <c r="AM144" s="1">
        <v>1</v>
      </c>
      <c r="AN144" s="1">
        <v>1</v>
      </c>
      <c r="AO144" s="1">
        <v>1</v>
      </c>
      <c r="AP144" s="1">
        <v>0</v>
      </c>
      <c r="AQ144" s="1">
        <v>0</v>
      </c>
      <c r="AR144" s="1">
        <v>0</v>
      </c>
      <c r="AS144" s="12">
        <f>IF(AND(AM144=0,AU144&lt;=2), 1, 0)</f>
        <v>0</v>
      </c>
      <c r="AT144" s="12">
        <v>0</v>
      </c>
      <c r="AU144" s="1">
        <v>2</v>
      </c>
      <c r="AV144" s="1">
        <v>0.5</v>
      </c>
      <c r="AW144" s="1"/>
      <c r="AX144" s="6" t="s">
        <v>45</v>
      </c>
      <c r="AY144" s="6" t="s">
        <v>45</v>
      </c>
      <c r="AZ144" s="1">
        <v>0.7</v>
      </c>
      <c r="BA144" s="1">
        <f>2.1+7.8+0.3</f>
        <v>10.200000000000001</v>
      </c>
      <c r="BB144" s="1">
        <v>307.8</v>
      </c>
      <c r="BC144" s="1">
        <f>12-2.4+0.3</f>
        <v>9.9</v>
      </c>
      <c r="BD144" s="1">
        <v>2</v>
      </c>
      <c r="BE144" s="1">
        <v>635</v>
      </c>
      <c r="BF144" s="1" t="s">
        <v>1319</v>
      </c>
      <c r="BG144" s="1">
        <v>45</v>
      </c>
      <c r="BH144" s="1">
        <v>45</v>
      </c>
      <c r="BI144" s="1">
        <v>0</v>
      </c>
      <c r="BJ144" s="1">
        <v>0</v>
      </c>
      <c r="BK144" s="1">
        <f>BH144+BI144</f>
        <v>45</v>
      </c>
      <c r="BL144" s="1">
        <v>25</v>
      </c>
      <c r="BM144" s="1">
        <v>1.8</v>
      </c>
      <c r="BN144" s="1" t="s">
        <v>62</v>
      </c>
      <c r="BO144" s="1">
        <v>1</v>
      </c>
      <c r="BP144" s="1">
        <v>1</v>
      </c>
      <c r="BQ144" s="1">
        <v>1</v>
      </c>
      <c r="BR144" s="3">
        <v>43236</v>
      </c>
      <c r="BS144" s="1" t="s">
        <v>61</v>
      </c>
      <c r="BT144" s="12" t="s">
        <v>60</v>
      </c>
      <c r="BU144" s="1">
        <v>5</v>
      </c>
      <c r="BV144" s="1">
        <v>1</v>
      </c>
      <c r="BW144" s="1">
        <v>6.62</v>
      </c>
      <c r="BX144" s="1">
        <v>0.52800000000000002</v>
      </c>
      <c r="BY144" s="1">
        <v>0.34</v>
      </c>
      <c r="BZ144" s="1">
        <v>13.7</v>
      </c>
      <c r="CA144" s="1">
        <v>358</v>
      </c>
      <c r="CB144" s="1">
        <v>1.72</v>
      </c>
      <c r="CC144" s="1">
        <v>20.2</v>
      </c>
      <c r="CD144" s="1">
        <v>9.1999999999999993</v>
      </c>
      <c r="CE144" s="1">
        <v>1</v>
      </c>
      <c r="CF144" s="3">
        <v>43312</v>
      </c>
      <c r="CG144" s="7">
        <f>CF144-AJ144</f>
        <v>36</v>
      </c>
      <c r="CH144" s="1" t="s">
        <v>1318</v>
      </c>
      <c r="CI144" s="12" t="s">
        <v>183</v>
      </c>
      <c r="CJ144" s="17" t="s">
        <v>182</v>
      </c>
      <c r="CK144" s="1" t="s">
        <v>181</v>
      </c>
      <c r="CL144" s="1" t="s">
        <v>1109</v>
      </c>
      <c r="CM144" s="1">
        <v>0</v>
      </c>
      <c r="CN144" s="12" t="str">
        <f>MID(CK144,4,1)</f>
        <v>3</v>
      </c>
      <c r="CO144" s="1" t="s">
        <v>1317</v>
      </c>
      <c r="CP144" s="1">
        <v>1</v>
      </c>
      <c r="CQ144" s="1" t="s">
        <v>1316</v>
      </c>
      <c r="CR144" s="1">
        <v>1.2</v>
      </c>
      <c r="CS144" s="1" t="s">
        <v>1014</v>
      </c>
      <c r="CT144" s="1" t="s">
        <v>511</v>
      </c>
      <c r="CU144" s="1" t="s">
        <v>472</v>
      </c>
      <c r="CV144" s="1">
        <v>0</v>
      </c>
      <c r="CW144" s="1">
        <v>4</v>
      </c>
      <c r="CX144" s="1">
        <v>5</v>
      </c>
      <c r="CY144" s="1">
        <v>0.1</v>
      </c>
      <c r="CZ144" s="1">
        <v>6</v>
      </c>
      <c r="DA144" s="1">
        <v>54</v>
      </c>
      <c r="DB144" s="2">
        <f>CZ144/DA144*100</f>
        <v>11.111111111111111</v>
      </c>
      <c r="DC144" s="1">
        <v>0</v>
      </c>
      <c r="DD144" s="1">
        <v>0</v>
      </c>
      <c r="DE144" s="1">
        <v>0</v>
      </c>
      <c r="DF144" s="1">
        <v>0</v>
      </c>
      <c r="DG144" s="26" t="s">
        <v>1315</v>
      </c>
      <c r="DH144" s="7">
        <v>0</v>
      </c>
      <c r="DI144" s="7">
        <v>1</v>
      </c>
      <c r="DJ144" s="3">
        <v>43642</v>
      </c>
      <c r="DK144" s="1" t="s">
        <v>88</v>
      </c>
      <c r="DL144" s="12">
        <f>(DJ144-I144)/365.25*12</f>
        <v>13.338809034907598</v>
      </c>
      <c r="DM144" s="1">
        <v>1</v>
      </c>
      <c r="DN144" s="1" t="s">
        <v>1312</v>
      </c>
      <c r="DO144" s="3">
        <v>43467</v>
      </c>
      <c r="DP144" s="6" t="s">
        <v>133</v>
      </c>
      <c r="DQ144" s="7">
        <v>0</v>
      </c>
      <c r="DR144" s="3" t="s">
        <v>45</v>
      </c>
      <c r="DS144" s="10">
        <f>IF(DQ144=1, (DR144-$I144)/365.25*12, IF(DQ144=0, $DL144, "ERROR"))</f>
        <v>13.338809034907598</v>
      </c>
      <c r="DT144" s="7">
        <v>0</v>
      </c>
      <c r="DU144" s="7">
        <v>0</v>
      </c>
      <c r="DV144" s="7">
        <v>0</v>
      </c>
      <c r="DW144" s="16">
        <f>DU144*(1-DV144)</f>
        <v>0</v>
      </c>
      <c r="DX144" s="16">
        <f>(1-DU144)*DV144</f>
        <v>0</v>
      </c>
      <c r="DY144" s="16">
        <f>DU144*DV144</f>
        <v>0</v>
      </c>
      <c r="DZ144" s="3" t="s">
        <v>45</v>
      </c>
      <c r="EA144" s="10">
        <f>IF(DT144=1, (DZ144-$I144)/365.25*12, IF(DT144=0, $DL144, "ERROR"))</f>
        <v>13.338809034907598</v>
      </c>
      <c r="EB144" s="7">
        <v>0</v>
      </c>
      <c r="EC144" s="7">
        <v>0</v>
      </c>
      <c r="ED144" s="16">
        <f>1-((1-DQ144)*(1-DT144))</f>
        <v>0</v>
      </c>
      <c r="EE144" s="11" t="s">
        <v>45</v>
      </c>
      <c r="EF144" s="1" t="s">
        <v>1314</v>
      </c>
      <c r="EG144" s="7" t="s">
        <v>49</v>
      </c>
      <c r="EH144" s="1" t="s">
        <v>1313</v>
      </c>
      <c r="EI144" s="1">
        <v>1</v>
      </c>
      <c r="EJ144" s="16">
        <f>(1-DQ144)*DX144*(1-EI144)</f>
        <v>0</v>
      </c>
      <c r="EK144" s="3">
        <v>43467</v>
      </c>
      <c r="EL144" s="10">
        <f>IF(EI144=1, (EK144-$I144)/365.25*12, IF(EI144=0, $DL144, "ERROR"))</f>
        <v>7.5893223819301854</v>
      </c>
      <c r="EM144" s="1" t="s">
        <v>1312</v>
      </c>
      <c r="EN144" s="7">
        <v>1</v>
      </c>
      <c r="EO144" s="7">
        <v>0</v>
      </c>
      <c r="EP144" s="7">
        <v>0</v>
      </c>
      <c r="EQ144" s="7">
        <v>1</v>
      </c>
      <c r="ER144" s="7">
        <v>0</v>
      </c>
      <c r="ES144" s="7">
        <v>0</v>
      </c>
      <c r="ET144" s="7">
        <v>0</v>
      </c>
      <c r="EU144" s="7">
        <v>0</v>
      </c>
      <c r="EV144" s="7">
        <v>1</v>
      </c>
      <c r="EW144" s="1">
        <f>1-((1-EP144)*(1-ET144)*(1-EU144)*(1-EV144))</f>
        <v>1</v>
      </c>
      <c r="EX144" s="7">
        <v>0</v>
      </c>
      <c r="EY144" s="7">
        <v>0</v>
      </c>
      <c r="EZ144" s="7">
        <v>0</v>
      </c>
      <c r="FA144" s="7">
        <v>0</v>
      </c>
      <c r="FB144" s="1" t="s">
        <v>45</v>
      </c>
      <c r="FC144" s="1">
        <v>1</v>
      </c>
      <c r="FD144" s="1">
        <v>1</v>
      </c>
      <c r="FF144" s="3">
        <v>43663</v>
      </c>
      <c r="FG144" s="3">
        <f>IF(FC144=1, FF144, IF(FD144=1, 44348, DJ144))</f>
        <v>43663</v>
      </c>
      <c r="FH144" s="13">
        <f>(FG144-I144)/365.25*12</f>
        <v>14.028747433264886</v>
      </c>
      <c r="FI144" s="20">
        <f>IF(DM144=1, (DO144-I144)/365.25*12, IF(DM144=0, DL144, "ERROR"))</f>
        <v>7.5893223819301854</v>
      </c>
      <c r="FJ144" s="14">
        <f>IF(OR(DM144,FC144), 1, 0)</f>
        <v>1</v>
      </c>
      <c r="FK144" s="11">
        <f>IF(DM144=1,IF(FC144=1,MIN(DO144,FF144),DO144),IF(FC144=1,FF144,DJ144))</f>
        <v>43467</v>
      </c>
      <c r="FL144" s="13">
        <f>(FK144-$I144)/365.25*12</f>
        <v>7.5893223819301854</v>
      </c>
      <c r="FM144" s="14">
        <f>IF(OR(ED144,FC144), 1, 0)</f>
        <v>1</v>
      </c>
      <c r="FN144" s="11">
        <f>IF(ED144=1,IF(FC144=1,MIN(EE144,FF144),EE144),IF(FC144=1,FF144,DJ144))</f>
        <v>43663</v>
      </c>
      <c r="FO144" s="13">
        <f>(FN144-$I144)/365.25*12</f>
        <v>14.028747433264886</v>
      </c>
      <c r="FP144" s="14">
        <f>IF(OR(EI144,FC144), 1, 0)</f>
        <v>1</v>
      </c>
      <c r="FQ144" s="11">
        <f>IF(EI144=1,IF(FC144=1,MIN(EK144,FF144),EK144),IF(FC144=1,FF144,DJ144))</f>
        <v>43467</v>
      </c>
      <c r="FR144" s="13">
        <f>(FQ144-$I144)/365.25*12</f>
        <v>7.5893223819301854</v>
      </c>
      <c r="FU144" s="1">
        <v>0</v>
      </c>
      <c r="FV144" s="1">
        <v>0</v>
      </c>
      <c r="FW144" s="1">
        <v>0</v>
      </c>
      <c r="FX144" s="1">
        <v>0</v>
      </c>
      <c r="GA144" s="1">
        <v>2</v>
      </c>
      <c r="GB144" s="1">
        <v>2</v>
      </c>
      <c r="GC144" s="1">
        <v>358.74239999999998</v>
      </c>
      <c r="GD144" s="1">
        <v>55.249000000000002</v>
      </c>
      <c r="GE144" s="25">
        <v>20</v>
      </c>
      <c r="GF144" s="25">
        <v>20</v>
      </c>
      <c r="GG144" s="1">
        <v>718.6413</v>
      </c>
      <c r="GH144" s="24">
        <v>130.36940000000001</v>
      </c>
    </row>
    <row r="145" spans="1:190" ht="12.75" customHeight="1">
      <c r="A145" s="1" t="s">
        <v>1331</v>
      </c>
      <c r="B145" s="15" t="s">
        <v>1330</v>
      </c>
      <c r="C145" s="1">
        <v>50787674</v>
      </c>
      <c r="D145" s="1">
        <v>0</v>
      </c>
      <c r="E145" s="1">
        <v>0</v>
      </c>
      <c r="F145" s="1">
        <v>1</v>
      </c>
      <c r="G145" s="12">
        <v>1</v>
      </c>
      <c r="I145" s="3">
        <v>43236</v>
      </c>
      <c r="J145" s="3">
        <v>43216</v>
      </c>
      <c r="K145" s="3">
        <v>20057</v>
      </c>
      <c r="L145" s="5">
        <f>(DAYS360(K145,I145))/365</f>
        <v>62.594520547945208</v>
      </c>
      <c r="M145" s="1" t="s">
        <v>5</v>
      </c>
      <c r="N145" s="1">
        <v>1</v>
      </c>
      <c r="O145" s="1">
        <v>0</v>
      </c>
      <c r="P145" s="1" t="s">
        <v>69</v>
      </c>
      <c r="Q145" s="1">
        <v>1</v>
      </c>
      <c r="R145" s="1" t="s">
        <v>209</v>
      </c>
      <c r="S145" s="1" t="s">
        <v>889</v>
      </c>
      <c r="T145" s="1" t="s">
        <v>67</v>
      </c>
      <c r="U145" s="1">
        <v>0</v>
      </c>
      <c r="V145" s="1">
        <v>0</v>
      </c>
      <c r="W145" s="1">
        <v>1</v>
      </c>
      <c r="X145" s="1" t="s">
        <v>117</v>
      </c>
      <c r="Y145" s="1">
        <v>3</v>
      </c>
      <c r="Z145" s="1">
        <v>1</v>
      </c>
      <c r="AA145" s="1" t="s">
        <v>116</v>
      </c>
      <c r="AC145" s="1">
        <v>3</v>
      </c>
      <c r="AD145" s="1" t="s">
        <v>1329</v>
      </c>
      <c r="AE145" s="1" t="s">
        <v>114</v>
      </c>
      <c r="AF145" s="1">
        <v>0</v>
      </c>
      <c r="AG145" s="1">
        <v>0</v>
      </c>
      <c r="AH145" s="1">
        <v>0</v>
      </c>
      <c r="AI145" s="3">
        <v>43236</v>
      </c>
      <c r="AJ145" s="3">
        <v>43273</v>
      </c>
      <c r="AK145" s="6" t="s">
        <v>1328</v>
      </c>
      <c r="AL145" s="6" t="s">
        <v>1320</v>
      </c>
      <c r="AM145" s="1">
        <v>1</v>
      </c>
      <c r="AN145" s="1">
        <v>1</v>
      </c>
      <c r="AO145" s="1">
        <v>1</v>
      </c>
      <c r="AP145" s="1">
        <v>0</v>
      </c>
      <c r="AQ145" s="1">
        <v>0</v>
      </c>
      <c r="AR145" s="1">
        <v>0</v>
      </c>
      <c r="AS145" s="12">
        <f>IF(AND(AM145=0,AU145&lt;=2), 1, 0)</f>
        <v>0</v>
      </c>
      <c r="AT145" s="12">
        <v>0</v>
      </c>
      <c r="AU145" s="1">
        <v>2</v>
      </c>
      <c r="AV145" s="1">
        <v>0.5</v>
      </c>
      <c r="AW145" s="1"/>
      <c r="AX145" s="6" t="s">
        <v>45</v>
      </c>
      <c r="AY145" s="6" t="s">
        <v>45</v>
      </c>
      <c r="AZ145" s="1">
        <v>0.7</v>
      </c>
      <c r="BA145" s="1">
        <f>2.3+2.8+0.3</f>
        <v>5.3999999999999995</v>
      </c>
      <c r="BB145" s="1">
        <f>79.1+245.7</f>
        <v>324.79999999999995</v>
      </c>
      <c r="BC145" s="1">
        <f>17.8-3.1+0.3</f>
        <v>15.000000000000002</v>
      </c>
      <c r="BD145" s="1">
        <v>2</v>
      </c>
      <c r="BE145" s="1">
        <v>701</v>
      </c>
      <c r="BF145" s="1" t="s">
        <v>1319</v>
      </c>
      <c r="BG145" s="1">
        <v>45</v>
      </c>
      <c r="BH145" s="1">
        <v>45</v>
      </c>
      <c r="BI145" s="1">
        <v>0</v>
      </c>
      <c r="BJ145" s="1">
        <v>0</v>
      </c>
      <c r="BK145" s="1">
        <f>BH145+BI145</f>
        <v>45</v>
      </c>
      <c r="BL145" s="1">
        <v>25</v>
      </c>
      <c r="BM145" s="1">
        <v>1.8</v>
      </c>
      <c r="BN145" s="1" t="s">
        <v>62</v>
      </c>
      <c r="BO145" s="1">
        <v>1</v>
      </c>
      <c r="BP145" s="1">
        <v>1</v>
      </c>
      <c r="BQ145" s="1">
        <v>1</v>
      </c>
      <c r="BR145" s="3">
        <v>43236</v>
      </c>
      <c r="BS145" s="1" t="s">
        <v>61</v>
      </c>
      <c r="BT145" s="12" t="s">
        <v>60</v>
      </c>
      <c r="BU145" s="1">
        <v>5</v>
      </c>
      <c r="BV145" s="1">
        <v>1</v>
      </c>
      <c r="BW145" s="1">
        <v>7.25</v>
      </c>
      <c r="BX145" s="1">
        <v>0.48099999999999998</v>
      </c>
      <c r="BY145" s="1">
        <v>0.39400000000000002</v>
      </c>
      <c r="BZ145" s="1">
        <v>15.8</v>
      </c>
      <c r="CA145" s="1">
        <v>181</v>
      </c>
      <c r="CB145" s="1">
        <v>1.91</v>
      </c>
      <c r="CC145" s="1">
        <v>19.8</v>
      </c>
      <c r="CD145" s="1">
        <v>9.3000000000000007</v>
      </c>
      <c r="CE145" s="1">
        <v>1</v>
      </c>
      <c r="CF145" s="3">
        <v>43300</v>
      </c>
      <c r="CG145" s="7">
        <f>CF145-AJ145</f>
        <v>27</v>
      </c>
      <c r="CH145" s="1" t="s">
        <v>1327</v>
      </c>
      <c r="CI145" s="12" t="s">
        <v>183</v>
      </c>
      <c r="CJ145" s="17" t="s">
        <v>182</v>
      </c>
      <c r="CK145" s="1" t="s">
        <v>181</v>
      </c>
      <c r="CL145" s="1" t="s">
        <v>1109</v>
      </c>
      <c r="CM145" s="1">
        <v>0</v>
      </c>
      <c r="CN145" s="12" t="str">
        <f>MID(CK145,4,1)</f>
        <v>3</v>
      </c>
      <c r="CO145" s="1" t="s">
        <v>650</v>
      </c>
      <c r="CP145" s="1">
        <v>2</v>
      </c>
      <c r="CQ145" s="1" t="s">
        <v>1326</v>
      </c>
      <c r="CR145" s="1">
        <v>3.5</v>
      </c>
      <c r="CS145" s="1" t="s">
        <v>1014</v>
      </c>
      <c r="CT145" s="1" t="s">
        <v>511</v>
      </c>
      <c r="CU145" s="1" t="s">
        <v>472</v>
      </c>
      <c r="CV145" s="1">
        <v>0</v>
      </c>
      <c r="CW145" s="1">
        <v>9.1</v>
      </c>
      <c r="CX145" s="1">
        <v>4</v>
      </c>
      <c r="CY145" s="1">
        <v>0.15</v>
      </c>
      <c r="CZ145" s="1">
        <v>6</v>
      </c>
      <c r="DA145" s="1">
        <v>98</v>
      </c>
      <c r="DB145" s="2">
        <f>CZ145/DA145*100</f>
        <v>6.1224489795918364</v>
      </c>
      <c r="DC145" s="1">
        <v>1</v>
      </c>
      <c r="DD145" s="1">
        <v>0</v>
      </c>
      <c r="DE145" s="1">
        <v>1</v>
      </c>
      <c r="DF145" s="1">
        <v>0</v>
      </c>
      <c r="DG145" s="26" t="s">
        <v>1325</v>
      </c>
      <c r="DH145" s="7">
        <v>0</v>
      </c>
      <c r="DI145" s="7">
        <v>1</v>
      </c>
      <c r="DJ145" s="3">
        <v>44846</v>
      </c>
      <c r="DK145" s="1" t="s">
        <v>75</v>
      </c>
      <c r="DL145" s="12">
        <f>(DJ145-I145)/365.25*12</f>
        <v>52.895277207392198</v>
      </c>
      <c r="DM145" s="1">
        <v>0</v>
      </c>
      <c r="DN145" s="1" t="s">
        <v>45</v>
      </c>
      <c r="DO145" s="1" t="s">
        <v>45</v>
      </c>
      <c r="DP145" s="6" t="s">
        <v>45</v>
      </c>
      <c r="DQ145" s="7">
        <v>0</v>
      </c>
      <c r="DR145" s="3" t="s">
        <v>45</v>
      </c>
      <c r="DS145" s="10">
        <f>IF(DQ145=1, (DR145-$I145)/365.25*12, IF(DQ145=0, $DL145, "ERROR"))</f>
        <v>52.895277207392198</v>
      </c>
      <c r="DT145" s="7">
        <v>0</v>
      </c>
      <c r="DU145" s="7">
        <v>0</v>
      </c>
      <c r="DV145" s="7">
        <v>0</v>
      </c>
      <c r="DW145" s="16">
        <f>DU145*(1-DV145)</f>
        <v>0</v>
      </c>
      <c r="DX145" s="16">
        <f>(1-DU145)*DV145</f>
        <v>0</v>
      </c>
      <c r="DY145" s="16">
        <f>DU145*DV145</f>
        <v>0</v>
      </c>
      <c r="DZ145" s="3" t="s">
        <v>45</v>
      </c>
      <c r="EA145" s="10">
        <f>IF(DT145=1, (DZ145-$I145)/365.25*12, IF(DT145=0, $DL145, "ERROR"))</f>
        <v>52.895277207392198</v>
      </c>
      <c r="EB145" s="7">
        <v>0</v>
      </c>
      <c r="EC145" s="7">
        <v>0</v>
      </c>
      <c r="ED145" s="16">
        <f>1-((1-DQ145)*(1-DT145))</f>
        <v>0</v>
      </c>
      <c r="EE145" s="11" t="s">
        <v>45</v>
      </c>
      <c r="EF145" s="1" t="s">
        <v>45</v>
      </c>
      <c r="EG145" s="7" t="s">
        <v>45</v>
      </c>
      <c r="EH145" s="1" t="s">
        <v>45</v>
      </c>
      <c r="EI145" s="1">
        <v>0</v>
      </c>
      <c r="EJ145" s="16">
        <f>(1-DQ145)*DX145*(1-EI145)</f>
        <v>0</v>
      </c>
      <c r="EK145" s="1" t="s">
        <v>45</v>
      </c>
      <c r="EL145" s="10">
        <f>IF(EI145=1, (EK145-$I145)/365.25*12, IF(EI145=0, $DL145, "ERROR"))</f>
        <v>52.895277207392198</v>
      </c>
      <c r="EM145" s="1" t="s">
        <v>45</v>
      </c>
      <c r="EN145" s="1">
        <v>0</v>
      </c>
      <c r="EO145" s="1">
        <v>0</v>
      </c>
      <c r="EP145" s="1">
        <v>0</v>
      </c>
      <c r="EQ145" s="1">
        <v>0</v>
      </c>
      <c r="ER145" s="1">
        <v>0</v>
      </c>
      <c r="ES145" s="1">
        <v>0</v>
      </c>
      <c r="ET145" s="1">
        <v>0</v>
      </c>
      <c r="EU145" s="1">
        <v>0</v>
      </c>
      <c r="EV145" s="1">
        <v>0</v>
      </c>
      <c r="EW145" s="1">
        <f>1-((1-EP145)*(1-ET145)*(1-EU145)*(1-EV145))</f>
        <v>0</v>
      </c>
      <c r="EX145" s="7">
        <v>0</v>
      </c>
      <c r="EY145" s="7">
        <v>0</v>
      </c>
      <c r="EZ145" s="7">
        <v>0</v>
      </c>
      <c r="FA145" s="7">
        <v>0</v>
      </c>
      <c r="FB145" s="1" t="s">
        <v>45</v>
      </c>
      <c r="FC145" s="1">
        <v>0</v>
      </c>
      <c r="FD145" s="1">
        <v>1</v>
      </c>
      <c r="FF145" s="1" t="s">
        <v>45</v>
      </c>
      <c r="FG145" s="3">
        <f>IF(FC145=1, FF145, IF(FD145=1, 44348, DJ145))</f>
        <v>44348</v>
      </c>
      <c r="FH145" s="13">
        <f>(FG145-I145)/365.25*12</f>
        <v>36.533880903490761</v>
      </c>
      <c r="FI145" s="20">
        <f>IF(DM145=1, (DO145-I145)/365.25*12, IF(DM145=0, DL145, "ERROR"))</f>
        <v>52.895277207392198</v>
      </c>
      <c r="FJ145" s="14">
        <f>IF(OR(DM145,FC145), 1, 0)</f>
        <v>0</v>
      </c>
      <c r="FK145" s="11">
        <f>IF(DM145=1,IF(FC145=1,MIN(DO145,FF145),DO145),IF(FC145=1,FF145,DJ145))</f>
        <v>44846</v>
      </c>
      <c r="FL145" s="13">
        <f>(FK145-$I145)/365.25*12</f>
        <v>52.895277207392198</v>
      </c>
      <c r="FM145" s="14">
        <f>IF(OR(ED145,FC145), 1, 0)</f>
        <v>0</v>
      </c>
      <c r="FN145" s="11">
        <f>IF(ED145=1,IF(FC145=1,MIN(EE145,FF145),EE145),IF(FC145=1,FF145,DJ145))</f>
        <v>44846</v>
      </c>
      <c r="FO145" s="13">
        <f>(FN145-$I145)/365.25*12</f>
        <v>52.895277207392198</v>
      </c>
      <c r="FP145" s="14">
        <f>IF(OR(EI145,FC145), 1, 0)</f>
        <v>0</v>
      </c>
      <c r="FQ145" s="11">
        <f>IF(EI145=1,IF(FC145=1,MIN(EK145,FF145),EK145),IF(FC145=1,FF145,DJ145))</f>
        <v>44846</v>
      </c>
      <c r="FR145" s="13">
        <f>(FQ145-$I145)/365.25*12</f>
        <v>52.895277207392198</v>
      </c>
      <c r="FU145" s="1">
        <v>0</v>
      </c>
      <c r="FV145" s="1">
        <v>0</v>
      </c>
      <c r="FW145" s="1">
        <v>0</v>
      </c>
      <c r="FX145" s="1">
        <v>0</v>
      </c>
      <c r="GA145" s="1">
        <v>70</v>
      </c>
      <c r="GB145" s="1">
        <v>0</v>
      </c>
      <c r="GC145" s="1">
        <v>264.56310000000002</v>
      </c>
      <c r="GD145" s="1">
        <v>352.04590000000002</v>
      </c>
      <c r="GE145" s="25">
        <v>1</v>
      </c>
      <c r="GF145" s="25">
        <v>1</v>
      </c>
      <c r="GG145" s="1">
        <v>977.21879999999999</v>
      </c>
      <c r="GH145" s="24">
        <v>904.87329999999997</v>
      </c>
    </row>
    <row r="146" spans="1:190" ht="12.75" customHeight="1">
      <c r="A146" s="1" t="s">
        <v>1343</v>
      </c>
      <c r="B146" s="15" t="s">
        <v>1342</v>
      </c>
      <c r="C146" s="1">
        <v>50839746</v>
      </c>
      <c r="D146" s="1">
        <v>0</v>
      </c>
      <c r="E146" s="1">
        <v>0</v>
      </c>
      <c r="F146" s="1">
        <v>1</v>
      </c>
      <c r="G146" s="12">
        <v>1</v>
      </c>
      <c r="I146" s="3">
        <v>43258</v>
      </c>
      <c r="J146" s="3">
        <v>43235</v>
      </c>
      <c r="K146" s="3">
        <v>22837</v>
      </c>
      <c r="L146" s="5">
        <f>(DAYS360(K146,I146))/365</f>
        <v>55.142465753424659</v>
      </c>
      <c r="M146" s="1" t="s">
        <v>1</v>
      </c>
      <c r="N146" s="1">
        <v>1</v>
      </c>
      <c r="O146" s="1">
        <v>0</v>
      </c>
      <c r="P146" s="1" t="s">
        <v>69</v>
      </c>
      <c r="Q146" s="1">
        <v>1</v>
      </c>
      <c r="R146" s="1" t="s">
        <v>209</v>
      </c>
      <c r="S146" s="1" t="s">
        <v>1341</v>
      </c>
      <c r="T146" s="1" t="s">
        <v>80</v>
      </c>
      <c r="U146" s="1">
        <v>0</v>
      </c>
      <c r="V146" s="1">
        <v>1</v>
      </c>
      <c r="W146" s="1">
        <v>0</v>
      </c>
      <c r="X146" s="1" t="s">
        <v>117</v>
      </c>
      <c r="Y146" s="1">
        <v>3</v>
      </c>
      <c r="Z146" s="1">
        <v>1</v>
      </c>
      <c r="AA146" s="1" t="s">
        <v>116</v>
      </c>
      <c r="AC146" s="1">
        <v>3</v>
      </c>
      <c r="AD146" s="1" t="s">
        <v>773</v>
      </c>
      <c r="AE146" s="1" t="s">
        <v>114</v>
      </c>
      <c r="AF146" s="1">
        <v>0</v>
      </c>
      <c r="AG146" s="1">
        <v>0</v>
      </c>
      <c r="AH146" s="1">
        <v>0</v>
      </c>
      <c r="AI146" s="3">
        <v>43258</v>
      </c>
      <c r="AJ146" s="3">
        <v>43293</v>
      </c>
      <c r="AK146" s="6" t="s">
        <v>1340</v>
      </c>
      <c r="AL146" s="6" t="s">
        <v>123</v>
      </c>
      <c r="AM146" s="1">
        <v>1</v>
      </c>
      <c r="AN146" s="1">
        <v>1</v>
      </c>
      <c r="AO146" s="1">
        <v>0</v>
      </c>
      <c r="AP146" s="1">
        <v>0</v>
      </c>
      <c r="AQ146" s="1">
        <v>0</v>
      </c>
      <c r="AR146" s="1">
        <v>0</v>
      </c>
      <c r="AS146" s="12">
        <f>IF(AND(AM146=0,AU146&lt;=2), 1, 0)</f>
        <v>0</v>
      </c>
      <c r="AT146" s="12">
        <v>0</v>
      </c>
      <c r="AU146" s="1">
        <v>2</v>
      </c>
      <c r="AV146" s="1">
        <v>0.5</v>
      </c>
      <c r="AW146" s="1"/>
      <c r="AX146" s="6" t="s">
        <v>45</v>
      </c>
      <c r="AY146" s="6" t="s">
        <v>45</v>
      </c>
      <c r="AZ146" s="1">
        <v>0.7</v>
      </c>
      <c r="BA146" s="1">
        <f>8.1-2.1+0.3</f>
        <v>6.3</v>
      </c>
      <c r="BB146" s="1">
        <v>198.5</v>
      </c>
      <c r="BC146" s="1">
        <f>1.8+5.7+0.3</f>
        <v>7.8</v>
      </c>
      <c r="BD146" s="1">
        <v>2</v>
      </c>
      <c r="BE146" s="1">
        <v>399.1</v>
      </c>
      <c r="BF146" s="1" t="s">
        <v>1335</v>
      </c>
      <c r="BG146" s="1">
        <v>45</v>
      </c>
      <c r="BH146" s="1">
        <v>45</v>
      </c>
      <c r="BI146" s="1">
        <v>0</v>
      </c>
      <c r="BJ146" s="1">
        <v>0</v>
      </c>
      <c r="BK146" s="1">
        <f>BH146+BI146</f>
        <v>45</v>
      </c>
      <c r="BL146" s="1">
        <v>25</v>
      </c>
      <c r="BM146" s="1">
        <v>1.8</v>
      </c>
      <c r="BN146" s="1" t="s">
        <v>62</v>
      </c>
      <c r="BO146" s="1">
        <v>1</v>
      </c>
      <c r="BP146" s="1">
        <v>1</v>
      </c>
      <c r="BQ146" s="1">
        <v>1</v>
      </c>
      <c r="BR146" s="3">
        <v>43258</v>
      </c>
      <c r="BS146" s="1" t="s">
        <v>61</v>
      </c>
      <c r="BT146" s="12" t="s">
        <v>60</v>
      </c>
      <c r="BU146" s="1">
        <v>5</v>
      </c>
      <c r="BV146" s="1">
        <v>1</v>
      </c>
      <c r="BW146" s="1">
        <v>5.7</v>
      </c>
      <c r="BX146" s="1">
        <v>0.47599999999999998</v>
      </c>
      <c r="BY146" s="1">
        <v>0.44800000000000001</v>
      </c>
      <c r="BZ146" s="1">
        <v>12.5</v>
      </c>
      <c r="CA146" s="1">
        <v>242</v>
      </c>
      <c r="CB146" s="1">
        <v>1.56</v>
      </c>
      <c r="CC146" s="1">
        <v>16.100000000000001</v>
      </c>
      <c r="CD146" s="1">
        <v>7.4</v>
      </c>
      <c r="CE146" s="1">
        <v>1</v>
      </c>
      <c r="CF146" s="3">
        <v>43326</v>
      </c>
      <c r="CG146" s="7">
        <f>CF146-AJ146</f>
        <v>33</v>
      </c>
      <c r="CH146" s="1" t="s">
        <v>1318</v>
      </c>
      <c r="CI146" s="12" t="s">
        <v>183</v>
      </c>
      <c r="CJ146" s="17" t="s">
        <v>182</v>
      </c>
      <c r="CK146" s="1" t="s">
        <v>835</v>
      </c>
      <c r="CL146" s="1" t="s">
        <v>753</v>
      </c>
      <c r="CM146" s="1">
        <v>0</v>
      </c>
      <c r="CN146" s="12" t="str">
        <f>MID(CK146,4,1)</f>
        <v>2</v>
      </c>
      <c r="CO146" s="1" t="s">
        <v>1004</v>
      </c>
      <c r="CP146" s="1">
        <v>1</v>
      </c>
      <c r="CQ146" s="1" t="s">
        <v>1339</v>
      </c>
      <c r="CR146" s="1">
        <v>0.7</v>
      </c>
      <c r="CS146" s="1" t="s">
        <v>1014</v>
      </c>
      <c r="CT146" s="1" t="s">
        <v>511</v>
      </c>
      <c r="CU146" s="1" t="s">
        <v>454</v>
      </c>
      <c r="CV146" s="1">
        <v>0</v>
      </c>
      <c r="CW146" s="1">
        <v>4.7</v>
      </c>
      <c r="CX146" s="1">
        <v>11.6</v>
      </c>
      <c r="CY146" s="1">
        <v>0.4</v>
      </c>
      <c r="CZ146" s="1">
        <v>1</v>
      </c>
      <c r="DA146" s="1">
        <v>74</v>
      </c>
      <c r="DB146" s="2">
        <f>CZ146/DA146*100</f>
        <v>1.3513513513513513</v>
      </c>
      <c r="DC146" s="1">
        <v>0</v>
      </c>
      <c r="DD146" s="1">
        <v>0</v>
      </c>
      <c r="DE146" s="1">
        <v>0</v>
      </c>
      <c r="DF146" s="1">
        <v>0</v>
      </c>
      <c r="DG146" s="26" t="s">
        <v>1338</v>
      </c>
      <c r="DH146" s="7">
        <v>0</v>
      </c>
      <c r="DI146" s="7">
        <v>0</v>
      </c>
      <c r="DJ146" s="3">
        <v>44881</v>
      </c>
      <c r="DK146" s="1" t="s">
        <v>75</v>
      </c>
      <c r="DL146" s="12">
        <f>(DJ146-I146)/365.25*12</f>
        <v>53.322381930184804</v>
      </c>
      <c r="DM146" s="1">
        <v>0</v>
      </c>
      <c r="DN146" s="1" t="s">
        <v>45</v>
      </c>
      <c r="DO146" s="1" t="s">
        <v>45</v>
      </c>
      <c r="DP146" s="6" t="s">
        <v>45</v>
      </c>
      <c r="DQ146" s="7">
        <v>0</v>
      </c>
      <c r="DR146" s="3" t="s">
        <v>45</v>
      </c>
      <c r="DS146" s="10">
        <f>IF(DQ146=1, (DR146-$I146)/365.25*12, IF(DQ146=0, $DL146, "ERROR"))</f>
        <v>53.322381930184804</v>
      </c>
      <c r="DT146" s="7">
        <v>0</v>
      </c>
      <c r="DU146" s="7">
        <v>0</v>
      </c>
      <c r="DV146" s="7">
        <v>0</v>
      </c>
      <c r="DW146" s="16">
        <f>DU146*(1-DV146)</f>
        <v>0</v>
      </c>
      <c r="DX146" s="16">
        <f>(1-DU146)*DV146</f>
        <v>0</v>
      </c>
      <c r="DY146" s="16">
        <f>DU146*DV146</f>
        <v>0</v>
      </c>
      <c r="DZ146" s="3" t="s">
        <v>45</v>
      </c>
      <c r="EA146" s="10">
        <f>IF(DT146=1, (DZ146-$I146)/365.25*12, IF(DT146=0, $DL146, "ERROR"))</f>
        <v>53.322381930184804</v>
      </c>
      <c r="EB146" s="7">
        <v>0</v>
      </c>
      <c r="EC146" s="7">
        <v>0</v>
      </c>
      <c r="ED146" s="16">
        <f>1-((1-DQ146)*(1-DT146))</f>
        <v>0</v>
      </c>
      <c r="EE146" s="11" t="s">
        <v>45</v>
      </c>
      <c r="EF146" s="1" t="s">
        <v>45</v>
      </c>
      <c r="EG146" s="7" t="s">
        <v>45</v>
      </c>
      <c r="EH146" s="1" t="s">
        <v>45</v>
      </c>
      <c r="EI146" s="1">
        <v>0</v>
      </c>
      <c r="EJ146" s="16">
        <f>(1-DQ146)*DX146*(1-EI146)</f>
        <v>0</v>
      </c>
      <c r="EK146" s="1" t="s">
        <v>45</v>
      </c>
      <c r="EL146" s="10">
        <f>IF(EI146=1, (EK146-$I146)/365.25*12, IF(EI146=0, $DL146, "ERROR"))</f>
        <v>53.322381930184804</v>
      </c>
      <c r="EM146" s="1" t="s">
        <v>45</v>
      </c>
      <c r="EN146" s="1">
        <v>0</v>
      </c>
      <c r="EO146" s="1">
        <v>0</v>
      </c>
      <c r="EP146" s="1">
        <v>0</v>
      </c>
      <c r="EQ146" s="1">
        <v>0</v>
      </c>
      <c r="ER146" s="1">
        <v>0</v>
      </c>
      <c r="ES146" s="1">
        <v>0</v>
      </c>
      <c r="ET146" s="1">
        <v>0</v>
      </c>
      <c r="EU146" s="1">
        <v>0</v>
      </c>
      <c r="EV146" s="1">
        <v>0</v>
      </c>
      <c r="EW146" s="1">
        <f>1-((1-EP146)*(1-ET146)*(1-EU146)*(1-EV146))</f>
        <v>0</v>
      </c>
      <c r="EX146" s="7">
        <v>0</v>
      </c>
      <c r="EY146" s="7">
        <v>0</v>
      </c>
      <c r="EZ146" s="7">
        <v>0</v>
      </c>
      <c r="FA146" s="7">
        <v>0</v>
      </c>
      <c r="FB146" s="1" t="s">
        <v>45</v>
      </c>
      <c r="FC146" s="1">
        <v>0</v>
      </c>
      <c r="FD146" s="1">
        <v>1</v>
      </c>
      <c r="FF146" s="1" t="s">
        <v>45</v>
      </c>
      <c r="FG146" s="3">
        <f>IF(FC146=1, FF146, IF(FD146=1, 44348, DJ146))</f>
        <v>44348</v>
      </c>
      <c r="FH146" s="13">
        <f>(FG146-I146)/365.25*12</f>
        <v>35.811088295687881</v>
      </c>
      <c r="FI146" s="20">
        <f>IF(DM146=1, (DO146-I146)/365.25*12, IF(DM146=0, DL146, "ERROR"))</f>
        <v>53.322381930184804</v>
      </c>
      <c r="FJ146" s="14">
        <f>IF(OR(DM146,FC146), 1, 0)</f>
        <v>0</v>
      </c>
      <c r="FK146" s="11">
        <f>IF(DM146=1,IF(FC146=1,MIN(DO146,FF146),DO146),IF(FC146=1,FF146,DJ146))</f>
        <v>44881</v>
      </c>
      <c r="FL146" s="13">
        <f>(FK146-$I146)/365.25*12</f>
        <v>53.322381930184804</v>
      </c>
      <c r="FM146" s="14">
        <f>IF(OR(ED146,FC146), 1, 0)</f>
        <v>0</v>
      </c>
      <c r="FN146" s="11">
        <f>IF(ED146=1,IF(FC146=1,MIN(EE146,FF146),EE146),IF(FC146=1,FF146,DJ146))</f>
        <v>44881</v>
      </c>
      <c r="FO146" s="13">
        <f>(FN146-$I146)/365.25*12</f>
        <v>53.322381930184804</v>
      </c>
      <c r="FP146" s="14">
        <f>IF(OR(EI146,FC146), 1, 0)</f>
        <v>0</v>
      </c>
      <c r="FQ146" s="11">
        <f>IF(EI146=1,IF(FC146=1,MIN(EK146,FF146),EK146),IF(FC146=1,FF146,DJ146))</f>
        <v>44881</v>
      </c>
      <c r="FR146" s="13">
        <f>(FQ146-$I146)/365.25*12</f>
        <v>53.322381930184804</v>
      </c>
      <c r="FU146" s="1">
        <v>0</v>
      </c>
      <c r="FV146" s="1">
        <v>0</v>
      </c>
      <c r="FW146" s="1">
        <v>0</v>
      </c>
      <c r="FX146" s="1">
        <v>0</v>
      </c>
      <c r="GA146" s="1">
        <v>5</v>
      </c>
      <c r="GB146" s="1">
        <v>5</v>
      </c>
      <c r="GC146" s="1">
        <v>636.75130000000001</v>
      </c>
      <c r="GD146" s="1">
        <v>53.3947</v>
      </c>
      <c r="GE146" s="25">
        <v>15</v>
      </c>
      <c r="GF146" s="25">
        <v>15</v>
      </c>
      <c r="GG146" s="1">
        <v>1572.3063</v>
      </c>
      <c r="GH146" s="24">
        <v>1370.8605</v>
      </c>
    </row>
    <row r="147" spans="1:190" ht="12.75" customHeight="1">
      <c r="A147" s="1" t="s">
        <v>1365</v>
      </c>
      <c r="B147" s="15" t="s">
        <v>1364</v>
      </c>
      <c r="C147" s="1">
        <v>51127213</v>
      </c>
      <c r="D147" s="1">
        <v>0</v>
      </c>
      <c r="E147" s="1">
        <v>0</v>
      </c>
      <c r="F147" s="1">
        <v>1</v>
      </c>
      <c r="G147" s="12">
        <v>1</v>
      </c>
      <c r="I147" s="3">
        <v>43318</v>
      </c>
      <c r="J147" s="3">
        <v>43300</v>
      </c>
      <c r="K147" s="3">
        <v>25024</v>
      </c>
      <c r="L147" s="5">
        <f>(DAYS360(K147,I147))/365</f>
        <v>49.4</v>
      </c>
      <c r="M147" s="1" t="s">
        <v>5</v>
      </c>
      <c r="N147" s="1">
        <v>1</v>
      </c>
      <c r="O147" s="1">
        <v>0</v>
      </c>
      <c r="P147" s="1" t="s">
        <v>69</v>
      </c>
      <c r="Q147" s="1">
        <v>1</v>
      </c>
      <c r="R147" s="1" t="s">
        <v>209</v>
      </c>
      <c r="S147" s="1" t="s">
        <v>1363</v>
      </c>
      <c r="T147" s="1" t="s">
        <v>98</v>
      </c>
      <c r="U147" s="1">
        <v>1</v>
      </c>
      <c r="V147" s="1">
        <v>1</v>
      </c>
      <c r="W147" s="1">
        <v>0</v>
      </c>
      <c r="X147" s="1" t="s">
        <v>955</v>
      </c>
      <c r="Y147" s="1">
        <v>2</v>
      </c>
      <c r="Z147" s="1">
        <v>2</v>
      </c>
      <c r="AA147" s="1" t="s">
        <v>116</v>
      </c>
      <c r="AC147" s="1">
        <v>3</v>
      </c>
      <c r="AD147" s="1" t="s">
        <v>1362</v>
      </c>
      <c r="AE147" s="1" t="s">
        <v>148</v>
      </c>
      <c r="AF147" s="1">
        <v>0</v>
      </c>
      <c r="AG147" s="1">
        <v>0</v>
      </c>
      <c r="AH147" s="1">
        <v>0</v>
      </c>
      <c r="AI147" s="3">
        <v>43318</v>
      </c>
      <c r="AJ147" s="3">
        <v>43353</v>
      </c>
      <c r="AK147" s="6" t="s">
        <v>1361</v>
      </c>
      <c r="AL147" s="6" t="s">
        <v>1360</v>
      </c>
      <c r="AM147" s="1">
        <v>1</v>
      </c>
      <c r="AN147" s="1">
        <v>1</v>
      </c>
      <c r="AO147" s="1">
        <v>1</v>
      </c>
      <c r="AP147" s="1">
        <v>0</v>
      </c>
      <c r="AQ147" s="1">
        <v>0</v>
      </c>
      <c r="AR147" s="1">
        <v>0</v>
      </c>
      <c r="AS147" s="12">
        <f>IF(AND(AM147=0,AU147&lt;=2), 1, 0)</f>
        <v>0</v>
      </c>
      <c r="AT147" s="12">
        <v>0</v>
      </c>
      <c r="AU147" s="1">
        <v>2</v>
      </c>
      <c r="AV147" s="1">
        <v>0.5</v>
      </c>
      <c r="AW147" s="1"/>
      <c r="AX147" s="6" t="s">
        <v>45</v>
      </c>
      <c r="AY147" s="6" t="s">
        <v>45</v>
      </c>
      <c r="AZ147" s="6" t="s">
        <v>92</v>
      </c>
      <c r="BA147" s="1">
        <f>6.9+0.9+0.3</f>
        <v>8.1000000000000014</v>
      </c>
      <c r="BB147" s="1">
        <v>199.2</v>
      </c>
      <c r="BC147" s="1">
        <v>2</v>
      </c>
      <c r="BD147" s="1">
        <v>2</v>
      </c>
      <c r="BE147" s="1">
        <v>423.5</v>
      </c>
      <c r="BF147" s="6" t="s">
        <v>1359</v>
      </c>
      <c r="BG147" s="1">
        <v>45</v>
      </c>
      <c r="BH147" s="1">
        <v>45</v>
      </c>
      <c r="BI147" s="1">
        <v>0</v>
      </c>
      <c r="BJ147" s="1">
        <v>0</v>
      </c>
      <c r="BK147" s="1">
        <f>BH147+BI147</f>
        <v>45</v>
      </c>
      <c r="BL147" s="1">
        <v>25</v>
      </c>
      <c r="BM147" s="1">
        <v>1.8</v>
      </c>
      <c r="BN147" s="1" t="s">
        <v>62</v>
      </c>
      <c r="BO147" s="1">
        <v>1</v>
      </c>
      <c r="BP147" s="1">
        <v>1</v>
      </c>
      <c r="BQ147" s="1">
        <v>1</v>
      </c>
      <c r="BR147" s="3">
        <v>43318</v>
      </c>
      <c r="BS147" s="1" t="s">
        <v>1265</v>
      </c>
      <c r="BT147" s="1" t="s">
        <v>1264</v>
      </c>
      <c r="BU147" s="1">
        <v>6</v>
      </c>
      <c r="BV147" s="1">
        <v>1</v>
      </c>
      <c r="BW147" s="1">
        <v>10.5</v>
      </c>
      <c r="BX147" s="1">
        <v>0.63400000000000001</v>
      </c>
      <c r="BY147" s="1">
        <v>0.27</v>
      </c>
      <c r="BZ147" s="1">
        <v>12.3</v>
      </c>
      <c r="CA147" s="1">
        <v>216</v>
      </c>
      <c r="CB147" s="1">
        <v>1.66</v>
      </c>
      <c r="CC147" s="1">
        <v>13.1</v>
      </c>
      <c r="CD147" s="1">
        <v>5.6</v>
      </c>
      <c r="CE147" s="1">
        <v>1</v>
      </c>
      <c r="CF147" s="3">
        <v>43391</v>
      </c>
      <c r="CG147" s="7">
        <f>CF147-AJ147</f>
        <v>38</v>
      </c>
      <c r="CH147" s="1" t="s">
        <v>1358</v>
      </c>
      <c r="CI147" s="12" t="s">
        <v>183</v>
      </c>
      <c r="CJ147" s="17" t="s">
        <v>182</v>
      </c>
      <c r="CK147" s="1" t="s">
        <v>1284</v>
      </c>
      <c r="CL147" s="1" t="s">
        <v>280</v>
      </c>
      <c r="CM147" s="1">
        <v>0</v>
      </c>
      <c r="CN147" s="12" t="str">
        <f>MID(CK147,4,1)</f>
        <v>2</v>
      </c>
      <c r="CO147" s="1" t="s">
        <v>744</v>
      </c>
      <c r="CP147" s="1">
        <v>2</v>
      </c>
      <c r="CQ147" s="1" t="s">
        <v>1357</v>
      </c>
      <c r="CR147" s="1">
        <v>7.5</v>
      </c>
      <c r="CS147" s="1" t="s">
        <v>1014</v>
      </c>
      <c r="CT147" s="1" t="s">
        <v>473</v>
      </c>
      <c r="CU147" s="1" t="s">
        <v>794</v>
      </c>
      <c r="CV147" s="1">
        <v>0</v>
      </c>
      <c r="CW147" s="1">
        <v>0.2</v>
      </c>
      <c r="CX147" s="1">
        <v>9.5</v>
      </c>
      <c r="CY147" s="1">
        <v>0.05</v>
      </c>
      <c r="CZ147" s="1">
        <v>8</v>
      </c>
      <c r="DA147" s="1">
        <v>70</v>
      </c>
      <c r="DB147" s="2">
        <f>CZ147/DA147*100</f>
        <v>11.428571428571429</v>
      </c>
      <c r="DC147" s="1">
        <v>0</v>
      </c>
      <c r="DD147" s="1">
        <v>1</v>
      </c>
      <c r="DE147" s="1">
        <v>1</v>
      </c>
      <c r="DF147" s="1">
        <v>0</v>
      </c>
      <c r="DG147" s="26" t="s">
        <v>1356</v>
      </c>
      <c r="DH147" s="7">
        <v>0</v>
      </c>
      <c r="DI147" s="7">
        <v>0</v>
      </c>
      <c r="DJ147" s="3">
        <v>43688</v>
      </c>
      <c r="DL147" s="12">
        <f>(DJ147-I147)/365.25*12</f>
        <v>12.156057494866531</v>
      </c>
      <c r="DM147" s="1">
        <v>1</v>
      </c>
      <c r="DN147" s="1" t="s">
        <v>337</v>
      </c>
      <c r="DO147" s="3">
        <v>43472</v>
      </c>
      <c r="DP147" s="6" t="s">
        <v>133</v>
      </c>
      <c r="DQ147" s="7">
        <v>0</v>
      </c>
      <c r="DR147" s="3" t="s">
        <v>45</v>
      </c>
      <c r="DS147" s="10">
        <f>IF(DQ147=1, (DR147-$I147)/365.25*12, IF(DQ147=0, $DL147, "ERROR"))</f>
        <v>12.156057494866531</v>
      </c>
      <c r="DT147" s="7">
        <v>0</v>
      </c>
      <c r="DU147" s="7">
        <v>0</v>
      </c>
      <c r="DV147" s="7">
        <v>0</v>
      </c>
      <c r="DW147" s="16">
        <f>DU147*(1-DV147)</f>
        <v>0</v>
      </c>
      <c r="DX147" s="16">
        <f>(1-DU147)*DV147</f>
        <v>0</v>
      </c>
      <c r="DY147" s="16">
        <f>DU147*DV147</f>
        <v>0</v>
      </c>
      <c r="DZ147" s="3" t="s">
        <v>45</v>
      </c>
      <c r="EA147" s="10">
        <f>IF(DT147=1, (DZ147-$I147)/365.25*12, IF(DT147=0, $DL147, "ERROR"))</f>
        <v>12.156057494866531</v>
      </c>
      <c r="EB147" s="7">
        <v>0</v>
      </c>
      <c r="EC147" s="7">
        <v>0</v>
      </c>
      <c r="ED147" s="16">
        <f>1-((1-DQ147)*(1-DT147))</f>
        <v>0</v>
      </c>
      <c r="EE147" s="11" t="s">
        <v>45</v>
      </c>
      <c r="EF147" s="1" t="s">
        <v>1355</v>
      </c>
      <c r="EG147" s="7" t="s">
        <v>45</v>
      </c>
      <c r="EH147" s="1" t="s">
        <v>45</v>
      </c>
      <c r="EI147" s="1">
        <v>1</v>
      </c>
      <c r="EJ147" s="16">
        <f>(1-DQ147)*DX147*(1-EI147)</f>
        <v>0</v>
      </c>
      <c r="EK147" s="3">
        <v>43472</v>
      </c>
      <c r="EL147" s="10">
        <f>IF(EI147=1, (EK147-$I147)/365.25*12, IF(EI147=0, $DL147, "ERROR"))</f>
        <v>5.0595482546201236</v>
      </c>
      <c r="EM147" s="1" t="s">
        <v>337</v>
      </c>
      <c r="EN147" s="7">
        <v>1</v>
      </c>
      <c r="EO147" s="7">
        <v>0</v>
      </c>
      <c r="EP147" s="7">
        <v>0</v>
      </c>
      <c r="EQ147" s="7">
        <v>0</v>
      </c>
      <c r="ER147" s="7">
        <v>0</v>
      </c>
      <c r="ES147" s="7">
        <v>0</v>
      </c>
      <c r="ET147" s="7">
        <v>0</v>
      </c>
      <c r="EU147" s="7">
        <v>0</v>
      </c>
      <c r="EV147" s="7">
        <v>0</v>
      </c>
      <c r="EW147" s="1">
        <f>1-((1-EP147)*(1-ET147)*(1-EU147)*(1-EV147))</f>
        <v>0</v>
      </c>
      <c r="EX147" s="7">
        <v>0</v>
      </c>
      <c r="EY147" s="7">
        <v>0</v>
      </c>
      <c r="EZ147" s="7">
        <v>0</v>
      </c>
      <c r="FA147" s="7">
        <v>0</v>
      </c>
      <c r="FB147" s="1" t="s">
        <v>45</v>
      </c>
      <c r="FC147" s="1">
        <v>1</v>
      </c>
      <c r="FD147" s="1">
        <v>1</v>
      </c>
      <c r="FF147" s="3">
        <v>43725</v>
      </c>
      <c r="FG147" s="3">
        <f>IF(FC147=1, FF147, IF(FD147=1, 44348, DJ147))</f>
        <v>43725</v>
      </c>
      <c r="FH147" s="13">
        <f>(FG147-I147)/365.25*12</f>
        <v>13.371663244353183</v>
      </c>
      <c r="FI147" s="20">
        <f>IF(DM147=1, (DO147-I147)/365.25*12, IF(DM147=0, DL147, "ERROR"))</f>
        <v>5.0595482546201236</v>
      </c>
      <c r="FJ147" s="14">
        <f>IF(OR(DM147,FC147), 1, 0)</f>
        <v>1</v>
      </c>
      <c r="FK147" s="11">
        <f>IF(DM147=1,IF(FC147=1,MIN(DO147,FF147),DO147),IF(FC147=1,FF147,DJ147))</f>
        <v>43472</v>
      </c>
      <c r="FL147" s="13">
        <f>(FK147-$I147)/365.25*12</f>
        <v>5.0595482546201236</v>
      </c>
      <c r="FM147" s="14">
        <f>IF(OR(ED147,FC147), 1, 0)</f>
        <v>1</v>
      </c>
      <c r="FN147" s="11">
        <f>IF(ED147=1,IF(FC147=1,MIN(EE147,FF147),EE147),IF(FC147=1,FF147,DJ147))</f>
        <v>43725</v>
      </c>
      <c r="FO147" s="13">
        <f>(FN147-$I147)/365.25*12</f>
        <v>13.371663244353183</v>
      </c>
      <c r="FP147" s="14">
        <f>IF(OR(EI147,FC147), 1, 0)</f>
        <v>1</v>
      </c>
      <c r="FQ147" s="11">
        <f>IF(EI147=1,IF(FC147=1,MIN(EK147,FF147),EK147),IF(FC147=1,FF147,DJ147))</f>
        <v>43472</v>
      </c>
      <c r="FR147" s="13">
        <f>(FQ147-$I147)/365.25*12</f>
        <v>5.0595482546201236</v>
      </c>
      <c r="FU147" s="1">
        <v>0</v>
      </c>
      <c r="FV147" s="1">
        <v>0</v>
      </c>
      <c r="FW147" s="1">
        <v>1</v>
      </c>
      <c r="FX147" s="1">
        <v>0</v>
      </c>
      <c r="GA147" s="1">
        <v>5</v>
      </c>
      <c r="GB147" s="1">
        <v>5</v>
      </c>
      <c r="GC147" s="1">
        <v>439.41070000000002</v>
      </c>
      <c r="GD147" s="1">
        <v>53.4407</v>
      </c>
      <c r="GE147" s="25">
        <v>3</v>
      </c>
      <c r="GF147" s="25">
        <v>1</v>
      </c>
      <c r="GG147" s="1">
        <v>399.83800000000002</v>
      </c>
      <c r="GH147" s="24">
        <v>150.62719999999999</v>
      </c>
    </row>
    <row r="148" spans="1:190" ht="12.75" customHeight="1">
      <c r="A148" s="1" t="s">
        <v>1487</v>
      </c>
      <c r="B148" s="15" t="s">
        <v>1486</v>
      </c>
      <c r="C148" s="1">
        <v>51524302</v>
      </c>
      <c r="D148" s="1">
        <v>0</v>
      </c>
      <c r="E148" s="1">
        <v>0</v>
      </c>
      <c r="F148" s="1">
        <v>1</v>
      </c>
      <c r="G148" s="12">
        <v>1</v>
      </c>
      <c r="I148" s="3">
        <v>43425</v>
      </c>
      <c r="J148" s="3">
        <v>43397</v>
      </c>
      <c r="K148" s="3">
        <v>24090</v>
      </c>
      <c r="L148" s="5">
        <f>(DAYS360(K148,I148))/365</f>
        <v>52.210958904109589</v>
      </c>
      <c r="M148" s="9" t="s">
        <v>5</v>
      </c>
      <c r="N148" s="1">
        <v>1</v>
      </c>
      <c r="O148" s="1">
        <v>0</v>
      </c>
      <c r="P148" s="1" t="s">
        <v>69</v>
      </c>
      <c r="Q148" s="1">
        <v>1</v>
      </c>
      <c r="R148" s="1" t="s">
        <v>209</v>
      </c>
      <c r="S148" s="1" t="s">
        <v>889</v>
      </c>
      <c r="T148" s="1" t="s">
        <v>80</v>
      </c>
      <c r="U148" s="1">
        <v>0</v>
      </c>
      <c r="V148" s="1">
        <v>1</v>
      </c>
      <c r="W148" s="1">
        <v>0</v>
      </c>
      <c r="X148" s="1" t="s">
        <v>117</v>
      </c>
      <c r="Y148" s="1">
        <v>3</v>
      </c>
      <c r="Z148" s="1">
        <v>1</v>
      </c>
      <c r="AA148" s="1" t="s">
        <v>116</v>
      </c>
      <c r="AC148" s="1">
        <v>3</v>
      </c>
      <c r="AD148" s="1" t="s">
        <v>1059</v>
      </c>
      <c r="AE148" s="1" t="s">
        <v>114</v>
      </c>
      <c r="AF148" s="1">
        <v>0</v>
      </c>
      <c r="AG148" s="1">
        <v>0</v>
      </c>
      <c r="AH148" s="1">
        <v>0</v>
      </c>
      <c r="AI148" s="3">
        <v>43425</v>
      </c>
      <c r="AJ148" s="3">
        <v>43460</v>
      </c>
      <c r="AK148" s="6" t="s">
        <v>1328</v>
      </c>
      <c r="AL148" s="6" t="s">
        <v>1485</v>
      </c>
      <c r="AM148" s="1">
        <v>1</v>
      </c>
      <c r="AN148" s="1">
        <v>1</v>
      </c>
      <c r="AO148" s="1">
        <v>0</v>
      </c>
      <c r="AP148" s="1">
        <v>0</v>
      </c>
      <c r="AQ148" s="1">
        <v>0</v>
      </c>
      <c r="AR148" s="1">
        <v>0</v>
      </c>
      <c r="AS148" s="12">
        <f>IF(AND(AM148=0,AU148&lt;=2), 1, 0)</f>
        <v>0</v>
      </c>
      <c r="AT148" s="12">
        <v>0</v>
      </c>
      <c r="AU148" s="1">
        <v>2</v>
      </c>
      <c r="AV148" s="1">
        <v>0.5</v>
      </c>
      <c r="AW148" s="1"/>
      <c r="AX148" s="6" t="s">
        <v>45</v>
      </c>
      <c r="AY148" s="6" t="s">
        <v>45</v>
      </c>
      <c r="AZ148" s="1">
        <v>0.7</v>
      </c>
      <c r="BA148" s="1">
        <v>6.6</v>
      </c>
      <c r="BB148" s="1">
        <v>147.19999999999999</v>
      </c>
      <c r="BE148" s="1">
        <v>324.89999999999998</v>
      </c>
      <c r="BF148" s="1" t="s">
        <v>1484</v>
      </c>
      <c r="BG148" s="1">
        <v>45</v>
      </c>
      <c r="BH148" s="1">
        <v>45</v>
      </c>
      <c r="BI148" s="1">
        <v>0</v>
      </c>
      <c r="BJ148" s="1">
        <v>0</v>
      </c>
      <c r="BK148" s="1">
        <f>BH148+BI148</f>
        <v>45</v>
      </c>
      <c r="BL148" s="1">
        <v>25</v>
      </c>
      <c r="BM148" s="1">
        <v>1.8</v>
      </c>
      <c r="BN148" s="1" t="s">
        <v>62</v>
      </c>
      <c r="BO148" s="1">
        <v>1</v>
      </c>
      <c r="BP148" s="1">
        <v>1</v>
      </c>
      <c r="BQ148" s="1">
        <v>1</v>
      </c>
      <c r="BR148" s="3">
        <v>43425</v>
      </c>
      <c r="BS148" s="1" t="s">
        <v>109</v>
      </c>
      <c r="BT148" s="12" t="s">
        <v>90</v>
      </c>
      <c r="BU148" s="1">
        <v>2</v>
      </c>
      <c r="BV148" s="1">
        <v>1</v>
      </c>
      <c r="BW148" s="1">
        <v>17.62</v>
      </c>
      <c r="BX148" s="1">
        <v>0.74</v>
      </c>
      <c r="BY148" s="1">
        <v>0.155</v>
      </c>
      <c r="BZ148" s="1">
        <v>13.1</v>
      </c>
      <c r="CA148" s="1">
        <v>338</v>
      </c>
      <c r="CB148" s="1">
        <v>1.72</v>
      </c>
      <c r="CC148" s="1">
        <v>26.5</v>
      </c>
      <c r="CD148" s="1">
        <v>4.7</v>
      </c>
      <c r="CE148" s="1">
        <v>1</v>
      </c>
      <c r="CF148" s="3">
        <v>43503</v>
      </c>
      <c r="CG148" s="7">
        <f>CF148-AJ148</f>
        <v>43</v>
      </c>
      <c r="CH148" s="1" t="s">
        <v>1469</v>
      </c>
      <c r="CI148" s="12" t="s">
        <v>183</v>
      </c>
      <c r="CJ148" s="17" t="s">
        <v>182</v>
      </c>
      <c r="CK148" s="1" t="s">
        <v>181</v>
      </c>
      <c r="CL148" s="1" t="s">
        <v>1109</v>
      </c>
      <c r="CM148" s="1">
        <v>0</v>
      </c>
      <c r="CN148" s="12" t="str">
        <f>MID(CK148,4,1)</f>
        <v>3</v>
      </c>
      <c r="CO148" s="1" t="s">
        <v>1483</v>
      </c>
      <c r="CP148" s="1">
        <v>3</v>
      </c>
      <c r="CQ148" s="1" t="s">
        <v>1482</v>
      </c>
      <c r="CR148" s="1">
        <v>4</v>
      </c>
      <c r="CS148" s="1" t="s">
        <v>1014</v>
      </c>
      <c r="CT148" s="1" t="s">
        <v>1481</v>
      </c>
      <c r="CU148" s="1" t="s">
        <v>1480</v>
      </c>
      <c r="CV148" s="1">
        <v>0</v>
      </c>
      <c r="CW148" s="1">
        <v>6.5</v>
      </c>
      <c r="CX148" s="1">
        <v>3.5</v>
      </c>
      <c r="CY148" s="1">
        <v>0.06</v>
      </c>
      <c r="CZ148" s="1">
        <v>4</v>
      </c>
      <c r="DA148" s="1">
        <v>47</v>
      </c>
      <c r="DB148" s="2">
        <f>CZ148/DA148*100</f>
        <v>8.5106382978723403</v>
      </c>
      <c r="DC148" s="1">
        <v>1</v>
      </c>
      <c r="DD148" s="1">
        <v>0</v>
      </c>
      <c r="DE148" s="1">
        <v>1</v>
      </c>
      <c r="DF148" s="1">
        <v>0</v>
      </c>
      <c r="DG148" s="26" t="s">
        <v>1479</v>
      </c>
      <c r="DH148" s="7">
        <v>0</v>
      </c>
      <c r="DI148" s="7">
        <v>1</v>
      </c>
      <c r="DJ148" s="3">
        <v>44204</v>
      </c>
      <c r="DL148" s="12">
        <f>(DJ148-I148)/365.25*12</f>
        <v>25.593429158110887</v>
      </c>
      <c r="DM148" s="1">
        <v>1</v>
      </c>
      <c r="DN148" s="1" t="s">
        <v>1478</v>
      </c>
      <c r="DO148" s="3">
        <v>43702</v>
      </c>
      <c r="DP148" s="6" t="s">
        <v>1436</v>
      </c>
      <c r="DQ148" s="7">
        <v>0</v>
      </c>
      <c r="DR148" s="3" t="s">
        <v>45</v>
      </c>
      <c r="DS148" s="10">
        <f>IF(DQ148=1, (DR148-$I148)/365.25*12, IF(DQ148=0, $DL148, "ERROR"))</f>
        <v>25.593429158110887</v>
      </c>
      <c r="DT148" s="7">
        <v>1</v>
      </c>
      <c r="DU148" s="7">
        <v>1</v>
      </c>
      <c r="DV148" s="7">
        <v>1</v>
      </c>
      <c r="DW148" s="16">
        <f>DU148*(1-DV148)</f>
        <v>0</v>
      </c>
      <c r="DX148" s="16">
        <f>(1-DU148)*DV148</f>
        <v>0</v>
      </c>
      <c r="DY148" s="16">
        <f>DU148*DV148</f>
        <v>1</v>
      </c>
      <c r="DZ148" s="3">
        <v>43702</v>
      </c>
      <c r="EA148" s="10">
        <f>IF(DT148=1, (DZ148-$I148)/365.25*12, IF(DT148=0, $DL148, "ERROR"))</f>
        <v>9.1006160164271037</v>
      </c>
      <c r="EB148" s="7">
        <v>1</v>
      </c>
      <c r="EC148" s="7">
        <v>0</v>
      </c>
      <c r="ED148" s="16">
        <f>1-((1-DQ148)*(1-DT148))</f>
        <v>1</v>
      </c>
      <c r="EE148" s="11">
        <f>MIN(DR148,DZ148)</f>
        <v>43702</v>
      </c>
      <c r="EF148" s="1" t="s">
        <v>1477</v>
      </c>
      <c r="EG148" s="7" t="s">
        <v>49</v>
      </c>
      <c r="EH148" s="1" t="s">
        <v>1476</v>
      </c>
      <c r="EI148" s="1">
        <v>1</v>
      </c>
      <c r="EJ148" s="16">
        <f>(1-DQ148)*DX148*(1-EI148)</f>
        <v>0</v>
      </c>
      <c r="EK148" s="3">
        <v>43702</v>
      </c>
      <c r="EL148" s="10">
        <f>IF(EI148=1, (EK148-$I148)/365.25*12, IF(EI148=0, $DL148, "ERROR"))</f>
        <v>9.1006160164271037</v>
      </c>
      <c r="EM148" s="1" t="s">
        <v>1475</v>
      </c>
      <c r="EN148" s="7">
        <v>1</v>
      </c>
      <c r="EO148" s="7">
        <v>0</v>
      </c>
      <c r="EP148" s="7">
        <v>0</v>
      </c>
      <c r="EQ148" s="7">
        <v>0</v>
      </c>
      <c r="ER148" s="7">
        <v>0</v>
      </c>
      <c r="ES148" s="7">
        <v>0</v>
      </c>
      <c r="ET148" s="7">
        <v>0</v>
      </c>
      <c r="EU148" s="7">
        <v>0</v>
      </c>
      <c r="EV148" s="7">
        <v>0</v>
      </c>
      <c r="EW148" s="1">
        <f>1-((1-EP148)*(1-ET148)*(1-EU148)*(1-EV148))</f>
        <v>0</v>
      </c>
      <c r="EX148" s="7">
        <v>0</v>
      </c>
      <c r="EY148" s="7">
        <v>0</v>
      </c>
      <c r="EZ148" s="7">
        <v>0</v>
      </c>
      <c r="FA148" s="7">
        <v>0</v>
      </c>
      <c r="FB148" s="1" t="s">
        <v>45</v>
      </c>
      <c r="FC148" s="1">
        <v>0</v>
      </c>
      <c r="FD148" s="1">
        <v>1</v>
      </c>
      <c r="FF148" s="1" t="s">
        <v>45</v>
      </c>
      <c r="FG148" s="3">
        <f>IF(FC148=1, FF148, IF(FD148=1, 44348, DJ148))</f>
        <v>44348</v>
      </c>
      <c r="FH148" s="13">
        <f>(FG148-I148)/365.25*12</f>
        <v>30.32443531827515</v>
      </c>
      <c r="FI148" s="20">
        <f>IF(DM148=1, (DO148-I148)/365.25*12, IF(DM148=0, DL148, "ERROR"))</f>
        <v>9.1006160164271037</v>
      </c>
      <c r="FJ148" s="14">
        <f>IF(OR(DM148,FC148), 1, 0)</f>
        <v>1</v>
      </c>
      <c r="FK148" s="11">
        <f>IF(DM148=1,IF(FC148=1,MIN(DO148,FF148),DO148),IF(FC148=1,FF148,DJ148))</f>
        <v>43702</v>
      </c>
      <c r="FL148" s="13">
        <f>(FK148-$I148)/365.25*12</f>
        <v>9.1006160164271037</v>
      </c>
      <c r="FM148" s="14">
        <f>IF(OR(ED148,FC148), 1, 0)</f>
        <v>1</v>
      </c>
      <c r="FN148" s="11">
        <f>IF(ED148=1,IF(FC148=1,MIN(EE148,FF148),EE148),IF(FC148=1,FF148,DJ148))</f>
        <v>43702</v>
      </c>
      <c r="FO148" s="13">
        <f>(FN148-$I148)/365.25*12</f>
        <v>9.1006160164271037</v>
      </c>
      <c r="FP148" s="14">
        <f>IF(OR(EI148,FC148), 1, 0)</f>
        <v>1</v>
      </c>
      <c r="FQ148" s="11">
        <f>IF(EI148=1,IF(FC148=1,MIN(EK148,FF148),EK148),IF(FC148=1,FF148,DJ148))</f>
        <v>43702</v>
      </c>
      <c r="FR148" s="13">
        <f>(FQ148-$I148)/365.25*12</f>
        <v>9.1006160164271037</v>
      </c>
      <c r="FS148" s="1" t="s">
        <v>45</v>
      </c>
      <c r="FT148" s="1" t="s">
        <v>45</v>
      </c>
      <c r="FU148" s="1">
        <v>0</v>
      </c>
      <c r="FV148" s="1">
        <v>0</v>
      </c>
      <c r="FW148" s="1">
        <v>0</v>
      </c>
      <c r="FX148" s="1">
        <v>0</v>
      </c>
      <c r="GA148" s="1">
        <v>10</v>
      </c>
      <c r="GB148" s="1">
        <v>10</v>
      </c>
      <c r="GC148" s="1">
        <v>563.91909999999996</v>
      </c>
      <c r="GD148" s="1">
        <v>72.181100000000001</v>
      </c>
      <c r="GE148" s="25">
        <v>2</v>
      </c>
      <c r="GF148" s="25">
        <v>2</v>
      </c>
      <c r="GG148" s="1">
        <v>132.78620000000001</v>
      </c>
      <c r="GH148" s="24">
        <v>17.4481</v>
      </c>
    </row>
    <row r="149" spans="1:190" ht="12.75" customHeight="1">
      <c r="A149" s="1" t="s">
        <v>985</v>
      </c>
      <c r="B149" s="1" t="s">
        <v>984</v>
      </c>
      <c r="C149" s="1">
        <v>51981772</v>
      </c>
      <c r="D149" s="1">
        <v>1</v>
      </c>
      <c r="E149" s="1">
        <v>0</v>
      </c>
      <c r="F149" s="1">
        <v>1</v>
      </c>
      <c r="G149" s="1">
        <v>1</v>
      </c>
      <c r="I149" s="3">
        <v>43521</v>
      </c>
      <c r="J149" s="3">
        <v>43507</v>
      </c>
      <c r="K149" s="3">
        <v>16387</v>
      </c>
      <c r="L149" s="5">
        <f>(DAYS360(K149,I149))/365</f>
        <v>73.271232876712332</v>
      </c>
      <c r="M149" s="1" t="s">
        <v>5</v>
      </c>
      <c r="N149" s="1">
        <v>1</v>
      </c>
      <c r="O149" s="1">
        <v>0</v>
      </c>
      <c r="P149" s="1" t="s">
        <v>161</v>
      </c>
      <c r="Q149" s="1">
        <v>0</v>
      </c>
      <c r="R149" s="1" t="s">
        <v>18</v>
      </c>
      <c r="S149" s="1">
        <v>32</v>
      </c>
      <c r="T149" s="1" t="s">
        <v>67</v>
      </c>
      <c r="U149" s="1">
        <v>0</v>
      </c>
      <c r="V149" s="1">
        <v>0</v>
      </c>
      <c r="W149" s="1">
        <v>1</v>
      </c>
      <c r="X149" s="1" t="s">
        <v>117</v>
      </c>
      <c r="Y149" s="1">
        <v>3</v>
      </c>
      <c r="Z149" s="1">
        <v>1</v>
      </c>
      <c r="AA149" s="1" t="s">
        <v>116</v>
      </c>
      <c r="AC149" s="1">
        <v>3</v>
      </c>
      <c r="AD149" s="1" t="s">
        <v>983</v>
      </c>
      <c r="AE149" s="1" t="s">
        <v>125</v>
      </c>
      <c r="AF149" s="1">
        <v>0</v>
      </c>
      <c r="AG149" s="1">
        <v>0</v>
      </c>
      <c r="AH149" s="1">
        <v>0</v>
      </c>
      <c r="AI149" s="3">
        <v>43521</v>
      </c>
      <c r="AJ149" s="3">
        <v>43557</v>
      </c>
      <c r="AK149" s="6" t="s">
        <v>982</v>
      </c>
      <c r="AM149" s="1">
        <v>0</v>
      </c>
      <c r="AN149" s="1">
        <v>0</v>
      </c>
      <c r="AO149" s="1">
        <v>0</v>
      </c>
      <c r="AP149" s="1">
        <v>0</v>
      </c>
      <c r="AQ149" s="1">
        <v>0</v>
      </c>
      <c r="AR149" s="1">
        <v>0</v>
      </c>
      <c r="AS149" s="16">
        <f>IF(AND(AM149=0,AU149&lt;=2), 1, 0)</f>
        <v>1</v>
      </c>
      <c r="AT149" s="16">
        <v>1</v>
      </c>
      <c r="AU149" s="1">
        <v>2</v>
      </c>
      <c r="AV149" s="1">
        <v>0.5</v>
      </c>
      <c r="AW149" s="1"/>
      <c r="AX149" s="7" t="s">
        <v>45</v>
      </c>
      <c r="AY149" s="7" t="s">
        <v>45</v>
      </c>
      <c r="AZ149" s="1">
        <v>0.7</v>
      </c>
      <c r="BA149" s="7">
        <f>3.6+6.3+0.3</f>
        <v>10.200000000000001</v>
      </c>
      <c r="BB149" s="1">
        <f>186.1+61.8</f>
        <v>247.89999999999998</v>
      </c>
      <c r="BE149" s="7">
        <v>549</v>
      </c>
      <c r="BG149" s="1">
        <v>45</v>
      </c>
      <c r="BH149" s="1">
        <v>45</v>
      </c>
      <c r="BI149" s="1">
        <v>0</v>
      </c>
      <c r="BJ149" s="1">
        <v>0</v>
      </c>
      <c r="BK149" s="1">
        <f>BH149+BI149</f>
        <v>45</v>
      </c>
      <c r="BL149" s="1">
        <v>25</v>
      </c>
      <c r="BM149" s="1">
        <v>1.8</v>
      </c>
      <c r="BN149" s="1" t="s">
        <v>62</v>
      </c>
      <c r="BO149" s="1">
        <v>1</v>
      </c>
      <c r="BP149" s="1">
        <v>1</v>
      </c>
      <c r="BQ149" s="1">
        <v>1</v>
      </c>
      <c r="BR149" s="3">
        <v>43521</v>
      </c>
      <c r="BS149" s="1" t="s">
        <v>91</v>
      </c>
      <c r="BT149" s="12" t="s">
        <v>90</v>
      </c>
      <c r="BU149" s="1">
        <v>2</v>
      </c>
      <c r="BV149" s="1">
        <v>1</v>
      </c>
      <c r="BW149" s="1">
        <v>5.78</v>
      </c>
      <c r="BX149" s="1">
        <v>0.54600000000000004</v>
      </c>
      <c r="BY149" s="1">
        <v>0.34599999999999997</v>
      </c>
      <c r="BZ149" s="1">
        <v>13.5</v>
      </c>
      <c r="CA149" s="1">
        <v>189</v>
      </c>
      <c r="CB149" s="1">
        <v>1.93</v>
      </c>
      <c r="CC149" s="1">
        <v>28.6</v>
      </c>
      <c r="CD149" s="1">
        <v>5.7</v>
      </c>
      <c r="CE149" s="1">
        <v>1</v>
      </c>
      <c r="CF149" s="3">
        <v>43599</v>
      </c>
      <c r="CG149" s="7">
        <f>CF149-AJ149</f>
        <v>42</v>
      </c>
      <c r="CH149" s="1" t="s">
        <v>981</v>
      </c>
      <c r="CI149" s="17" t="s">
        <v>460</v>
      </c>
      <c r="CJ149" s="1" t="s">
        <v>606</v>
      </c>
      <c r="CK149" s="1" t="s">
        <v>980</v>
      </c>
      <c r="CL149" s="1" t="s">
        <v>968</v>
      </c>
      <c r="CM149" s="1">
        <v>0</v>
      </c>
      <c r="CN149" s="12" t="str">
        <f>MID(CK149,4,1)</f>
        <v>3</v>
      </c>
      <c r="CO149" s="1" t="s">
        <v>903</v>
      </c>
      <c r="CP149" s="1">
        <v>2</v>
      </c>
      <c r="CQ149" s="1" t="s">
        <v>979</v>
      </c>
      <c r="CR149" s="1">
        <v>4.3</v>
      </c>
      <c r="CS149" s="1" t="s">
        <v>742</v>
      </c>
      <c r="CT149" s="1" t="s">
        <v>978</v>
      </c>
      <c r="CU149" s="1" t="s">
        <v>472</v>
      </c>
      <c r="CV149" s="1">
        <v>0</v>
      </c>
      <c r="CW149" s="1">
        <v>2.2000000000000002</v>
      </c>
      <c r="CX149" s="1">
        <v>19.3</v>
      </c>
      <c r="CY149" s="1">
        <v>0.06</v>
      </c>
      <c r="CZ149" s="1">
        <v>0</v>
      </c>
      <c r="DA149" s="1">
        <v>38</v>
      </c>
      <c r="DB149" s="2">
        <f>CZ149/DA149*100</f>
        <v>0</v>
      </c>
      <c r="DC149" s="1">
        <v>0</v>
      </c>
      <c r="DD149" s="1">
        <v>0</v>
      </c>
      <c r="DE149" s="1">
        <v>0</v>
      </c>
      <c r="DF149" s="1">
        <v>0</v>
      </c>
      <c r="DG149" s="26" t="s">
        <v>977</v>
      </c>
      <c r="DH149" s="7">
        <v>0</v>
      </c>
      <c r="DI149" s="7">
        <v>0</v>
      </c>
      <c r="DJ149" s="3">
        <v>43868</v>
      </c>
      <c r="DK149" s="1" t="s">
        <v>88</v>
      </c>
      <c r="DL149" s="1">
        <f>(DJ149-I149)/365.25*12</f>
        <v>11.400410677618071</v>
      </c>
      <c r="DM149" s="1">
        <v>1</v>
      </c>
      <c r="DN149" s="1" t="s">
        <v>976</v>
      </c>
      <c r="DO149" s="3">
        <v>43733</v>
      </c>
      <c r="DP149" s="6" t="s">
        <v>86</v>
      </c>
      <c r="DQ149" s="7">
        <v>0</v>
      </c>
      <c r="DR149" s="3" t="s">
        <v>45</v>
      </c>
      <c r="DS149" s="10">
        <f>IF(DQ149=1, (DR149-$I149)/365.25*12, IF(DQ149=0, $DL149, "ERROR"))</f>
        <v>11.400410677618071</v>
      </c>
      <c r="DT149" s="7">
        <v>1</v>
      </c>
      <c r="DU149" s="7">
        <v>1</v>
      </c>
      <c r="DV149" s="7">
        <v>0</v>
      </c>
      <c r="DW149" s="7">
        <f>DU149*(1-DV149)</f>
        <v>1</v>
      </c>
      <c r="DX149" s="7">
        <f>(1-DU149)*DV149</f>
        <v>0</v>
      </c>
      <c r="DY149" s="7">
        <f>DU149*DV149</f>
        <v>0</v>
      </c>
      <c r="DZ149" s="3">
        <v>43733</v>
      </c>
      <c r="EA149" s="10">
        <f>IF(DT149=1, (DZ149-$I149)/365.25*12, IF(DT149=0, $DL149, "ERROR"))</f>
        <v>6.9650924024640659</v>
      </c>
      <c r="EB149" s="7">
        <v>1</v>
      </c>
      <c r="EC149" s="7">
        <v>0</v>
      </c>
      <c r="ED149" s="7">
        <f>1-((1-DQ149)*(1-DT149))</f>
        <v>1</v>
      </c>
      <c r="EE149" s="11">
        <f>MIN(DR149,DZ149)</f>
        <v>43733</v>
      </c>
      <c r="EF149" s="1" t="s">
        <v>45</v>
      </c>
      <c r="EG149" s="7" t="s">
        <v>45</v>
      </c>
      <c r="EH149" s="1" t="s">
        <v>45</v>
      </c>
      <c r="EI149" s="1">
        <v>1</v>
      </c>
      <c r="EJ149" s="7">
        <f>(1-DQ149)*DX149*(1-EI149)</f>
        <v>0</v>
      </c>
      <c r="EK149" s="3">
        <v>43733</v>
      </c>
      <c r="EL149" s="10">
        <f>IF(EI149=1, (EK149-$I149)/365.25*12, IF(EI149=0, $DL149, "ERROR"))</f>
        <v>6.9650924024640659</v>
      </c>
      <c r="EM149" s="1" t="s">
        <v>975</v>
      </c>
      <c r="EN149" s="1"/>
      <c r="EO149" s="1"/>
      <c r="EP149" s="1"/>
      <c r="EQ149" s="1"/>
      <c r="ER149" s="1"/>
      <c r="ES149" s="1"/>
      <c r="ET149" s="1"/>
      <c r="EU149" s="1"/>
      <c r="EV149" s="1"/>
      <c r="EW149" s="1"/>
      <c r="EX149" s="7">
        <v>0</v>
      </c>
      <c r="FB149" s="1" t="s">
        <v>45</v>
      </c>
      <c r="FC149" s="6" t="s">
        <v>50</v>
      </c>
      <c r="FD149" s="1">
        <v>0</v>
      </c>
      <c r="FF149" s="1" t="s">
        <v>45</v>
      </c>
      <c r="FI149" s="20">
        <f>IF(DM149=1, (DO149-I149)/365.25*12, IF(DM149=0, DL149, "ERROR"))</f>
        <v>6.9650924024640659</v>
      </c>
      <c r="FU149" s="1">
        <v>0</v>
      </c>
      <c r="FV149" s="1">
        <v>0</v>
      </c>
      <c r="FW149" s="1">
        <v>0</v>
      </c>
      <c r="FX149" s="1">
        <v>0</v>
      </c>
      <c r="GA149" s="1">
        <v>30</v>
      </c>
      <c r="GB149" s="1">
        <v>5</v>
      </c>
      <c r="GC149" s="1">
        <v>870.18269999999995</v>
      </c>
      <c r="GD149" s="1">
        <v>349.74130000000002</v>
      </c>
      <c r="GE149" s="25">
        <v>50</v>
      </c>
      <c r="GF149" s="25">
        <v>10</v>
      </c>
      <c r="GG149" s="1">
        <v>484.28120000000001</v>
      </c>
      <c r="GH149" s="24">
        <v>202.62280000000001</v>
      </c>
    </row>
    <row r="150" spans="1:190" ht="12.75" hidden="1" customHeight="1">
      <c r="A150" s="1" t="s">
        <v>891</v>
      </c>
      <c r="B150" s="1" t="s">
        <v>890</v>
      </c>
      <c r="C150" s="1">
        <v>54313929</v>
      </c>
      <c r="D150" s="1">
        <v>1</v>
      </c>
      <c r="E150" s="1">
        <v>0</v>
      </c>
      <c r="F150" s="1">
        <v>0</v>
      </c>
      <c r="G150" s="1">
        <v>1</v>
      </c>
      <c r="I150" s="3">
        <v>44127</v>
      </c>
      <c r="J150" s="3">
        <v>44103</v>
      </c>
      <c r="K150" s="3">
        <v>22146</v>
      </c>
      <c r="L150" s="5">
        <f>(DAYS360(K150,I150))/365</f>
        <v>59.356164383561641</v>
      </c>
      <c r="M150" s="1" t="s">
        <v>5</v>
      </c>
      <c r="N150" s="1">
        <v>1</v>
      </c>
      <c r="O150" s="1">
        <v>0</v>
      </c>
      <c r="P150" s="1" t="s">
        <v>69</v>
      </c>
      <c r="Q150" s="1">
        <v>1</v>
      </c>
      <c r="R150" s="1" t="s">
        <v>18</v>
      </c>
      <c r="S150" s="1" t="s">
        <v>889</v>
      </c>
      <c r="T150" s="1" t="s">
        <v>80</v>
      </c>
      <c r="U150" s="1">
        <v>0</v>
      </c>
      <c r="V150" s="1">
        <v>1</v>
      </c>
      <c r="W150" s="1">
        <v>0</v>
      </c>
      <c r="X150" s="1" t="s">
        <v>117</v>
      </c>
      <c r="Y150" s="1">
        <v>3</v>
      </c>
      <c r="Z150" s="1">
        <v>1</v>
      </c>
      <c r="AA150" s="1" t="s">
        <v>116</v>
      </c>
      <c r="AC150" s="1">
        <v>3</v>
      </c>
      <c r="AD150" s="1" t="s">
        <v>888</v>
      </c>
      <c r="AE150" s="1" t="s">
        <v>114</v>
      </c>
      <c r="AF150" s="1">
        <v>0</v>
      </c>
      <c r="AG150" s="1">
        <v>0</v>
      </c>
      <c r="AH150" s="1">
        <v>0</v>
      </c>
      <c r="AI150" s="3">
        <v>44127</v>
      </c>
      <c r="AJ150" s="3">
        <v>44167</v>
      </c>
      <c r="BG150" s="1">
        <v>44</v>
      </c>
      <c r="BH150" s="1">
        <v>22</v>
      </c>
      <c r="BI150" s="1">
        <v>0</v>
      </c>
      <c r="BJ150" s="1">
        <v>0</v>
      </c>
      <c r="BK150" s="1">
        <v>44</v>
      </c>
      <c r="BL150" s="1">
        <v>22</v>
      </c>
      <c r="BM150" s="1">
        <v>2</v>
      </c>
      <c r="BN150" s="1" t="s">
        <v>62</v>
      </c>
      <c r="BO150" s="1">
        <v>1</v>
      </c>
      <c r="BP150" s="1">
        <v>1</v>
      </c>
      <c r="BQ150" s="1">
        <v>1</v>
      </c>
      <c r="BR150" s="3">
        <v>44127</v>
      </c>
      <c r="BS150" s="1" t="s">
        <v>91</v>
      </c>
      <c r="BT150" s="12" t="s">
        <v>90</v>
      </c>
      <c r="BU150" s="1">
        <v>2</v>
      </c>
      <c r="BV150" s="1">
        <v>1</v>
      </c>
      <c r="CE150" s="1">
        <v>1</v>
      </c>
      <c r="CF150" s="3">
        <v>44210</v>
      </c>
      <c r="CG150" s="7">
        <f>CF150-AJ150</f>
        <v>43</v>
      </c>
      <c r="CH150" s="1" t="s">
        <v>887</v>
      </c>
      <c r="CI150" s="17" t="s">
        <v>460</v>
      </c>
      <c r="CJ150" s="1" t="s">
        <v>182</v>
      </c>
      <c r="CK150" s="1" t="s">
        <v>717</v>
      </c>
      <c r="CM150" s="1">
        <v>0</v>
      </c>
      <c r="CN150" s="12" t="str">
        <f>MID(CK150,4,1)</f>
        <v>3</v>
      </c>
      <c r="CO150" s="1" t="s">
        <v>886</v>
      </c>
      <c r="CP150" s="1">
        <v>3</v>
      </c>
      <c r="CQ150" s="1" t="s">
        <v>885</v>
      </c>
      <c r="CR150" s="1">
        <v>4</v>
      </c>
      <c r="CS150" s="1" t="s">
        <v>742</v>
      </c>
      <c r="CT150" s="1" t="s">
        <v>511</v>
      </c>
      <c r="CU150" s="1" t="s">
        <v>472</v>
      </c>
      <c r="CV150" s="1">
        <v>0</v>
      </c>
      <c r="CW150" s="1">
        <v>3.8</v>
      </c>
      <c r="CX150" s="1">
        <v>11.5</v>
      </c>
      <c r="CY150" s="1">
        <v>7.0000000000000007E-2</v>
      </c>
      <c r="CZ150" s="1">
        <v>1</v>
      </c>
      <c r="DA150" s="1">
        <v>69</v>
      </c>
      <c r="DB150" s="2">
        <f>CZ150/DA150*100</f>
        <v>1.4492753623188406</v>
      </c>
      <c r="DC150" s="1">
        <v>1</v>
      </c>
      <c r="DD150" s="1">
        <v>0</v>
      </c>
      <c r="DE150" s="1">
        <v>1</v>
      </c>
      <c r="DF150" s="1">
        <v>0</v>
      </c>
      <c r="DG150" s="26" t="s">
        <v>884</v>
      </c>
      <c r="DH150" s="7">
        <v>0</v>
      </c>
      <c r="DI150" s="7">
        <v>1</v>
      </c>
      <c r="DJ150" s="3">
        <v>44554</v>
      </c>
      <c r="DK150" s="1" t="s">
        <v>88</v>
      </c>
      <c r="DL150" s="1">
        <f>(DJ150-I150)/365.25*12</f>
        <v>14.028747433264886</v>
      </c>
      <c r="DM150" s="1">
        <v>1</v>
      </c>
      <c r="DN150" s="1" t="s">
        <v>883</v>
      </c>
      <c r="DO150" s="3">
        <v>44351</v>
      </c>
      <c r="DP150" s="6" t="s">
        <v>866</v>
      </c>
      <c r="DQ150" s="7">
        <v>0</v>
      </c>
      <c r="DT150" s="7">
        <v>1</v>
      </c>
      <c r="DU150" s="7">
        <v>1</v>
      </c>
      <c r="DV150" s="7">
        <v>0</v>
      </c>
      <c r="DW150" s="7">
        <f>DU150*(1-DV150)</f>
        <v>1</v>
      </c>
      <c r="DX150" s="7">
        <f>(1-DU150)*DV150</f>
        <v>0</v>
      </c>
      <c r="DY150" s="7">
        <f>DU150*DV150</f>
        <v>0</v>
      </c>
      <c r="DZ150" s="3">
        <v>44351</v>
      </c>
      <c r="EB150" s="7">
        <v>1</v>
      </c>
      <c r="EC150" s="7">
        <v>0</v>
      </c>
      <c r="ED150" s="7">
        <f>1-((1-DQ150)*(1-DT150))</f>
        <v>1</v>
      </c>
      <c r="EE150" s="11">
        <f>MIN(DR150,DZ150)</f>
        <v>44351</v>
      </c>
      <c r="EI150" s="1">
        <v>0</v>
      </c>
      <c r="EJ150" s="7">
        <f>(1-DQ150)*DX150*(1-EI150)</f>
        <v>0</v>
      </c>
      <c r="FC150" s="6" t="s">
        <v>50</v>
      </c>
      <c r="FD150" s="1">
        <v>0</v>
      </c>
      <c r="FF150" s="1" t="s">
        <v>45</v>
      </c>
      <c r="FI150" s="20">
        <f>IF(DM150=1, (DO150-I150)/365.25*12, IF(DM150=0, DL150, "ERROR"))</f>
        <v>7.3593429158110872</v>
      </c>
      <c r="GE150" s="25">
        <v>40</v>
      </c>
      <c r="GF150" s="25">
        <v>35</v>
      </c>
      <c r="GG150" s="1">
        <v>785.79349999999999</v>
      </c>
      <c r="GH150" s="24">
        <v>531.15290000000005</v>
      </c>
    </row>
    <row r="151" spans="1:190" ht="12.75" customHeight="1">
      <c r="A151" s="1" t="s">
        <v>974</v>
      </c>
      <c r="B151" s="1" t="s">
        <v>973</v>
      </c>
      <c r="C151" s="1">
        <v>52160491</v>
      </c>
      <c r="D151" s="1">
        <v>1</v>
      </c>
      <c r="E151" s="1">
        <v>0</v>
      </c>
      <c r="F151" s="1">
        <v>1</v>
      </c>
      <c r="G151" s="1">
        <v>1</v>
      </c>
      <c r="I151" s="3">
        <v>43570</v>
      </c>
      <c r="J151" s="3">
        <v>43549</v>
      </c>
      <c r="K151" s="3">
        <v>20129</v>
      </c>
      <c r="L151" s="5">
        <f>(DAYS360(K151,I151))/365</f>
        <v>63.304109589041097</v>
      </c>
      <c r="M151" s="1" t="s">
        <v>1</v>
      </c>
      <c r="N151" s="1">
        <v>1</v>
      </c>
      <c r="O151" s="1">
        <v>0</v>
      </c>
      <c r="P151" s="1" t="s">
        <v>69</v>
      </c>
      <c r="Q151" s="1">
        <v>1</v>
      </c>
      <c r="R151" s="1" t="s">
        <v>18</v>
      </c>
      <c r="S151" s="1">
        <v>20</v>
      </c>
      <c r="T151" s="1" t="s">
        <v>140</v>
      </c>
      <c r="U151" s="1">
        <v>1</v>
      </c>
      <c r="V151" s="1">
        <v>0</v>
      </c>
      <c r="W151" s="1">
        <v>0</v>
      </c>
      <c r="X151" s="1" t="s">
        <v>972</v>
      </c>
      <c r="Y151" s="27">
        <v>3</v>
      </c>
      <c r="Z151" s="1">
        <v>2</v>
      </c>
      <c r="AA151" s="1" t="s">
        <v>116</v>
      </c>
      <c r="AC151" s="1">
        <v>3</v>
      </c>
      <c r="AD151" s="1" t="s">
        <v>971</v>
      </c>
      <c r="AE151" s="1" t="s">
        <v>114</v>
      </c>
      <c r="AF151" s="1">
        <v>0</v>
      </c>
      <c r="AG151" s="1">
        <v>0</v>
      </c>
      <c r="AH151" s="1">
        <v>0</v>
      </c>
      <c r="AI151" s="3">
        <v>43570</v>
      </c>
      <c r="AJ151" s="3">
        <v>43606</v>
      </c>
      <c r="AK151" s="6" t="s">
        <v>93</v>
      </c>
      <c r="AM151" s="1">
        <v>1</v>
      </c>
      <c r="AN151" s="1">
        <v>0</v>
      </c>
      <c r="AO151" s="1">
        <v>1</v>
      </c>
      <c r="AP151" s="1">
        <v>0</v>
      </c>
      <c r="AQ151" s="1">
        <v>0</v>
      </c>
      <c r="AR151" s="1">
        <v>0</v>
      </c>
      <c r="AS151" s="16">
        <f>IF(AND(AM151=0,AU151&lt;=2), 1, 0)</f>
        <v>0</v>
      </c>
      <c r="AT151" s="16">
        <v>0</v>
      </c>
      <c r="AU151" s="1">
        <v>2</v>
      </c>
      <c r="AV151" s="1">
        <v>0.5</v>
      </c>
      <c r="AW151" s="1"/>
      <c r="AX151" s="7" t="s">
        <v>45</v>
      </c>
      <c r="AY151" s="7" t="s">
        <v>45</v>
      </c>
      <c r="AZ151" s="7" t="s">
        <v>92</v>
      </c>
      <c r="BA151" s="1">
        <v>4.5</v>
      </c>
      <c r="BE151" s="1">
        <v>288.89999999999998</v>
      </c>
      <c r="BG151" s="1">
        <v>45</v>
      </c>
      <c r="BH151" s="1">
        <v>45</v>
      </c>
      <c r="BI151" s="1">
        <v>0</v>
      </c>
      <c r="BJ151" s="1">
        <v>0</v>
      </c>
      <c r="BK151" s="1">
        <f>BH151+BI151</f>
        <v>45</v>
      </c>
      <c r="BL151" s="1">
        <v>25</v>
      </c>
      <c r="BM151" s="1">
        <v>1.8</v>
      </c>
      <c r="BN151" s="1" t="s">
        <v>62</v>
      </c>
      <c r="BO151" s="1">
        <v>1</v>
      </c>
      <c r="BP151" s="1">
        <v>1</v>
      </c>
      <c r="BQ151" s="1">
        <v>1</v>
      </c>
      <c r="BR151" s="3">
        <v>43570</v>
      </c>
      <c r="BS151" s="1" t="s">
        <v>91</v>
      </c>
      <c r="BT151" s="12" t="s">
        <v>90</v>
      </c>
      <c r="BU151" s="1">
        <v>2</v>
      </c>
      <c r="BV151" s="1">
        <v>1</v>
      </c>
      <c r="BW151" s="1">
        <v>6.14</v>
      </c>
      <c r="BX151" s="1">
        <v>0.66100000000000003</v>
      </c>
      <c r="BY151" s="1">
        <v>0.23499999999999999</v>
      </c>
      <c r="BZ151" s="1">
        <v>13</v>
      </c>
      <c r="CA151" s="1">
        <v>269</v>
      </c>
      <c r="CB151" s="1">
        <v>1.44</v>
      </c>
      <c r="CC151" s="1">
        <v>24</v>
      </c>
      <c r="CD151" s="1">
        <v>6.7</v>
      </c>
      <c r="CE151" s="1">
        <v>1</v>
      </c>
      <c r="CF151" s="3">
        <v>43643</v>
      </c>
      <c r="CG151" s="7">
        <f>CF151-AJ151</f>
        <v>37</v>
      </c>
      <c r="CH151" s="1" t="s">
        <v>970</v>
      </c>
      <c r="CI151" s="1" t="s">
        <v>183</v>
      </c>
      <c r="CJ151" s="1" t="s">
        <v>182</v>
      </c>
      <c r="CK151" s="1" t="s">
        <v>969</v>
      </c>
      <c r="CL151" s="1" t="s">
        <v>968</v>
      </c>
      <c r="CM151" s="1">
        <v>0</v>
      </c>
      <c r="CN151" s="12" t="str">
        <f>MID(CK151,4,1)</f>
        <v>1</v>
      </c>
      <c r="CO151" s="1" t="s">
        <v>928</v>
      </c>
      <c r="CP151" s="1">
        <v>1</v>
      </c>
      <c r="CQ151" s="1" t="s">
        <v>967</v>
      </c>
      <c r="CR151" s="1">
        <v>1.1000000000000001</v>
      </c>
      <c r="CS151" s="1" t="s">
        <v>742</v>
      </c>
      <c r="CT151" s="1" t="s">
        <v>455</v>
      </c>
      <c r="CU151" s="1" t="s">
        <v>794</v>
      </c>
      <c r="CV151" s="1">
        <v>0</v>
      </c>
      <c r="CW151" s="1">
        <v>0.6</v>
      </c>
      <c r="CX151" s="1">
        <v>21</v>
      </c>
      <c r="CY151" s="1" t="s">
        <v>45</v>
      </c>
      <c r="CZ151" s="1">
        <v>1</v>
      </c>
      <c r="DA151" s="1">
        <v>49</v>
      </c>
      <c r="DB151" s="2">
        <f>CZ151/DA151*100</f>
        <v>2.0408163265306123</v>
      </c>
      <c r="DC151" s="1">
        <v>0</v>
      </c>
      <c r="DD151" s="1">
        <v>0</v>
      </c>
      <c r="DE151" s="1">
        <v>0</v>
      </c>
      <c r="DF151" s="1">
        <v>0</v>
      </c>
      <c r="DG151" s="26" t="s">
        <v>966</v>
      </c>
      <c r="DH151" s="7">
        <v>0</v>
      </c>
      <c r="DI151" s="7">
        <v>0</v>
      </c>
      <c r="DJ151" s="3">
        <v>44762</v>
      </c>
      <c r="DK151" s="1" t="s">
        <v>75</v>
      </c>
      <c r="DL151" s="1">
        <f>(DJ151-I151)/365.25*12</f>
        <v>39.162217659137582</v>
      </c>
      <c r="DM151" s="1">
        <v>0</v>
      </c>
      <c r="DN151" s="1" t="s">
        <v>45</v>
      </c>
      <c r="DO151" s="1" t="s">
        <v>45</v>
      </c>
      <c r="DP151" s="6" t="s">
        <v>45</v>
      </c>
      <c r="DQ151" s="7">
        <v>0</v>
      </c>
      <c r="DR151" s="3" t="s">
        <v>45</v>
      </c>
      <c r="DS151" s="10">
        <f>IF(DQ151=1, (DR151-$I151)/365.25*12, IF(DQ151=0, $DL151, "ERROR"))</f>
        <v>39.162217659137582</v>
      </c>
      <c r="DT151" s="7">
        <v>0</v>
      </c>
      <c r="DU151" s="7">
        <v>0</v>
      </c>
      <c r="DV151" s="7">
        <v>0</v>
      </c>
      <c r="DW151" s="7">
        <f>DU151*(1-DV151)</f>
        <v>0</v>
      </c>
      <c r="DX151" s="7">
        <f>(1-DU151)*DV151</f>
        <v>0</v>
      </c>
      <c r="DY151" s="7">
        <f>DU151*DV151</f>
        <v>0</v>
      </c>
      <c r="DZ151" s="3" t="s">
        <v>45</v>
      </c>
      <c r="EA151" s="10">
        <f>IF(DT151=1, (DZ151-$I151)/365.25*12, IF(DT151=0, $DL151, "ERROR"))</f>
        <v>39.162217659137582</v>
      </c>
      <c r="EB151" s="7">
        <v>0</v>
      </c>
      <c r="EC151" s="7">
        <v>0</v>
      </c>
      <c r="ED151" s="7">
        <f>1-((1-DQ151)*(1-DT151))</f>
        <v>0</v>
      </c>
      <c r="EE151" s="3" t="s">
        <v>45</v>
      </c>
      <c r="EF151" s="1" t="s">
        <v>45</v>
      </c>
      <c r="EG151" s="7" t="s">
        <v>45</v>
      </c>
      <c r="EH151" s="1" t="s">
        <v>45</v>
      </c>
      <c r="EI151" s="1">
        <v>0</v>
      </c>
      <c r="EJ151" s="7">
        <f>(1-DQ151)*DX151*(1-EI151)</f>
        <v>0</v>
      </c>
      <c r="EK151" s="1" t="s">
        <v>45</v>
      </c>
      <c r="EL151" s="10">
        <f>IF(EI151=1, (EK151-$I151)/365.25*12, IF(EI151=0, $DL151, "ERROR"))</f>
        <v>39.162217659137582</v>
      </c>
      <c r="EM151" s="1" t="s">
        <v>45</v>
      </c>
      <c r="EN151" s="1"/>
      <c r="EO151" s="1"/>
      <c r="EP151" s="1"/>
      <c r="EQ151" s="1"/>
      <c r="ER151" s="1"/>
      <c r="ES151" s="1"/>
      <c r="ET151" s="1"/>
      <c r="EU151" s="1"/>
      <c r="EV151" s="1"/>
      <c r="EW151" s="1"/>
      <c r="EX151" s="7">
        <v>0</v>
      </c>
      <c r="FB151" s="1" t="s">
        <v>45</v>
      </c>
      <c r="FC151" s="1">
        <v>0</v>
      </c>
      <c r="FD151" s="1">
        <v>0</v>
      </c>
      <c r="FF151" s="1" t="s">
        <v>45</v>
      </c>
      <c r="FI151" s="20">
        <f>IF(DM151=1, (DO151-I151)/365.25*12, IF(DM151=0, DL151, "ERROR"))</f>
        <v>39.162217659137582</v>
      </c>
      <c r="FU151" s="1">
        <v>1</v>
      </c>
      <c r="FV151" s="1">
        <v>0</v>
      </c>
      <c r="FW151" s="1">
        <v>0</v>
      </c>
      <c r="FX151" s="1">
        <v>0</v>
      </c>
      <c r="GA151" s="1">
        <v>8</v>
      </c>
      <c r="GB151" s="1">
        <v>8</v>
      </c>
      <c r="GC151" s="1">
        <v>689.66380000000004</v>
      </c>
      <c r="GD151" s="1">
        <v>416.25409999999999</v>
      </c>
      <c r="GE151" s="25">
        <v>90</v>
      </c>
      <c r="GF151" s="25">
        <v>70</v>
      </c>
      <c r="GG151" s="1">
        <v>2858.5790999999999</v>
      </c>
      <c r="GH151" s="24">
        <v>1604.4755</v>
      </c>
    </row>
    <row r="152" spans="1:190" ht="12.75" customHeight="1">
      <c r="A152" s="1" t="s">
        <v>965</v>
      </c>
      <c r="B152" s="1" t="s">
        <v>964</v>
      </c>
      <c r="C152" s="1">
        <v>52709959</v>
      </c>
      <c r="D152" s="1">
        <v>1</v>
      </c>
      <c r="E152" s="1">
        <v>0</v>
      </c>
      <c r="F152" s="1">
        <v>1</v>
      </c>
      <c r="G152" s="1">
        <v>1</v>
      </c>
      <c r="I152" s="3">
        <v>43710</v>
      </c>
      <c r="J152" s="3">
        <v>43684</v>
      </c>
      <c r="K152" s="3">
        <v>22878</v>
      </c>
      <c r="L152" s="5">
        <f>(DAYS360(K152,I152))/365</f>
        <v>56.252054794520546</v>
      </c>
      <c r="M152" s="1" t="s">
        <v>5</v>
      </c>
      <c r="N152" s="1">
        <v>1</v>
      </c>
      <c r="O152" s="1">
        <v>0</v>
      </c>
      <c r="P152" s="1" t="s">
        <v>81</v>
      </c>
      <c r="Q152" s="1">
        <v>2</v>
      </c>
      <c r="R152" s="1" t="s">
        <v>18</v>
      </c>
      <c r="S152" s="1">
        <v>30</v>
      </c>
      <c r="T152" s="1" t="s">
        <v>67</v>
      </c>
      <c r="U152" s="1">
        <v>0</v>
      </c>
      <c r="V152" s="1">
        <v>0</v>
      </c>
      <c r="W152" s="1">
        <v>1</v>
      </c>
      <c r="X152" s="1" t="s">
        <v>296</v>
      </c>
      <c r="Y152" s="1">
        <v>2</v>
      </c>
      <c r="Z152" s="1">
        <v>1</v>
      </c>
      <c r="AA152" s="1" t="s">
        <v>65</v>
      </c>
      <c r="AC152" s="1">
        <v>2</v>
      </c>
      <c r="AD152" s="1" t="s">
        <v>963</v>
      </c>
      <c r="AE152" s="1" t="s">
        <v>114</v>
      </c>
      <c r="AF152" s="1">
        <v>0</v>
      </c>
      <c r="AG152" s="1">
        <v>0</v>
      </c>
      <c r="AH152" s="1">
        <v>0</v>
      </c>
      <c r="AI152" s="3">
        <v>43710</v>
      </c>
      <c r="AJ152" s="3">
        <v>43748</v>
      </c>
      <c r="AK152" s="6" t="s">
        <v>962</v>
      </c>
      <c r="AM152" s="1">
        <v>0</v>
      </c>
      <c r="AN152" s="1">
        <v>0</v>
      </c>
      <c r="AO152" s="1">
        <v>0</v>
      </c>
      <c r="AP152" s="1">
        <v>0</v>
      </c>
      <c r="AQ152" s="1">
        <v>1</v>
      </c>
      <c r="AR152" s="1">
        <v>1</v>
      </c>
      <c r="AS152" s="16">
        <f>IF(AND(AM152=0,AU152&lt;=2), 1, 0)</f>
        <v>1</v>
      </c>
      <c r="AT152" s="16">
        <v>1</v>
      </c>
      <c r="AU152" s="1">
        <v>2</v>
      </c>
      <c r="AV152" s="1">
        <v>0.5</v>
      </c>
      <c r="AW152" s="1"/>
      <c r="AX152" s="7" t="s">
        <v>45</v>
      </c>
      <c r="AY152" s="7" t="s">
        <v>45</v>
      </c>
      <c r="AZ152" s="1">
        <v>0.7</v>
      </c>
      <c r="BA152" s="1">
        <f>1.8+2.4+0.3</f>
        <v>4.5</v>
      </c>
      <c r="BE152" s="1">
        <v>141.1</v>
      </c>
      <c r="BG152" s="1">
        <v>45</v>
      </c>
      <c r="BH152" s="1">
        <v>45</v>
      </c>
      <c r="BI152" s="1">
        <v>0</v>
      </c>
      <c r="BJ152" s="1">
        <v>0</v>
      </c>
      <c r="BK152" s="1">
        <f>BH152+BI152</f>
        <v>45</v>
      </c>
      <c r="BL152" s="1">
        <v>25</v>
      </c>
      <c r="BM152" s="1">
        <v>1.8</v>
      </c>
      <c r="BN152" s="1" t="s">
        <v>62</v>
      </c>
      <c r="BO152" s="1">
        <v>1</v>
      </c>
      <c r="BP152" s="1">
        <v>1</v>
      </c>
      <c r="BQ152" s="1">
        <v>1</v>
      </c>
      <c r="BR152" s="3">
        <v>43710</v>
      </c>
      <c r="BS152" s="1" t="s">
        <v>91</v>
      </c>
      <c r="BT152" s="12" t="s">
        <v>90</v>
      </c>
      <c r="BU152" s="1">
        <v>2</v>
      </c>
      <c r="BV152" s="1">
        <v>1</v>
      </c>
      <c r="BW152" s="1">
        <v>7.48</v>
      </c>
      <c r="BX152" s="1">
        <v>0.56799999999999995</v>
      </c>
      <c r="BY152" s="1">
        <v>0.313</v>
      </c>
      <c r="BZ152" s="1">
        <v>13.6</v>
      </c>
      <c r="CA152" s="1">
        <v>292</v>
      </c>
      <c r="CB152" s="1">
        <v>1.57</v>
      </c>
      <c r="CC152" s="1">
        <v>14.5</v>
      </c>
      <c r="CD152" s="1">
        <v>6.1</v>
      </c>
      <c r="CE152" s="1">
        <v>1</v>
      </c>
      <c r="CF152" s="3">
        <v>43788</v>
      </c>
      <c r="CG152" s="7">
        <f>CF152-AJ152</f>
        <v>40</v>
      </c>
      <c r="CH152" s="1" t="s">
        <v>961</v>
      </c>
      <c r="CI152" s="1" t="s">
        <v>183</v>
      </c>
      <c r="CJ152" s="1" t="s">
        <v>182</v>
      </c>
      <c r="CK152" s="1" t="s">
        <v>771</v>
      </c>
      <c r="CL152" s="1" t="s">
        <v>45</v>
      </c>
      <c r="CM152" s="1">
        <v>0</v>
      </c>
      <c r="CN152" s="12" t="str">
        <f>MID(CK152,4,1)</f>
        <v>0</v>
      </c>
      <c r="CO152" s="1" t="s">
        <v>960</v>
      </c>
      <c r="CP152" s="1">
        <v>0</v>
      </c>
      <c r="CQ152" s="1" t="s">
        <v>45</v>
      </c>
      <c r="CR152" s="1">
        <v>0</v>
      </c>
      <c r="CS152" s="1" t="s">
        <v>750</v>
      </c>
      <c r="CT152" s="1" t="s">
        <v>45</v>
      </c>
      <c r="CU152" s="1" t="s">
        <v>45</v>
      </c>
      <c r="CV152" s="1">
        <v>0</v>
      </c>
      <c r="CW152" s="1" t="s">
        <v>45</v>
      </c>
      <c r="CX152" s="1" t="s">
        <v>45</v>
      </c>
      <c r="CY152" s="1" t="s">
        <v>45</v>
      </c>
      <c r="CZ152" s="1">
        <v>1</v>
      </c>
      <c r="DA152" s="1">
        <v>85</v>
      </c>
      <c r="DB152" s="2">
        <f>CZ152/DA152*100</f>
        <v>1.1764705882352942</v>
      </c>
      <c r="DC152" s="1">
        <v>0</v>
      </c>
      <c r="DD152" s="1">
        <v>0</v>
      </c>
      <c r="DE152" s="1">
        <v>0</v>
      </c>
      <c r="DF152" s="1">
        <v>0</v>
      </c>
      <c r="DG152" s="26" t="s">
        <v>959</v>
      </c>
      <c r="DH152" s="7">
        <v>0</v>
      </c>
      <c r="DI152" s="7">
        <v>0</v>
      </c>
      <c r="DJ152" s="3">
        <v>44776</v>
      </c>
      <c r="DK152" s="1" t="s">
        <v>75</v>
      </c>
      <c r="DL152" s="1">
        <f>(DJ152-I152)/365.25*12</f>
        <v>35.022587268993838</v>
      </c>
      <c r="DM152" s="1">
        <v>0</v>
      </c>
      <c r="DN152" s="1" t="s">
        <v>45</v>
      </c>
      <c r="DO152" s="1" t="s">
        <v>45</v>
      </c>
      <c r="DP152" s="6" t="s">
        <v>45</v>
      </c>
      <c r="DQ152" s="7">
        <v>0</v>
      </c>
      <c r="DR152" s="3" t="s">
        <v>45</v>
      </c>
      <c r="DS152" s="10">
        <f>IF(DQ152=1, (DR152-$I152)/365.25*12, IF(DQ152=0, $DL152, "ERROR"))</f>
        <v>35.022587268993838</v>
      </c>
      <c r="DT152" s="7">
        <v>0</v>
      </c>
      <c r="DU152" s="7">
        <v>0</v>
      </c>
      <c r="DV152" s="7">
        <v>0</v>
      </c>
      <c r="DW152" s="7">
        <f>DU152*(1-DV152)</f>
        <v>0</v>
      </c>
      <c r="DX152" s="7">
        <f>(1-DU152)*DV152</f>
        <v>0</v>
      </c>
      <c r="DY152" s="7">
        <f>DU152*DV152</f>
        <v>0</v>
      </c>
      <c r="DZ152" s="3" t="s">
        <v>45</v>
      </c>
      <c r="EA152" s="10">
        <f>IF(DT152=1, (DZ152-$I152)/365.25*12, IF(DT152=0, $DL152, "ERROR"))</f>
        <v>35.022587268993838</v>
      </c>
      <c r="EB152" s="7">
        <v>0</v>
      </c>
      <c r="EC152" s="7">
        <v>0</v>
      </c>
      <c r="ED152" s="7">
        <f>1-((1-DQ152)*(1-DT152))</f>
        <v>0</v>
      </c>
      <c r="EE152" s="3" t="s">
        <v>45</v>
      </c>
      <c r="EF152" s="1" t="s">
        <v>45</v>
      </c>
      <c r="EG152" s="7" t="s">
        <v>45</v>
      </c>
      <c r="EH152" s="1" t="s">
        <v>45</v>
      </c>
      <c r="EI152" s="1">
        <v>0</v>
      </c>
      <c r="EJ152" s="7">
        <f>(1-DQ152)*DX152*(1-EI152)</f>
        <v>0</v>
      </c>
      <c r="EK152" s="1" t="s">
        <v>45</v>
      </c>
      <c r="EL152" s="10">
        <f>IF(EI152=1, (EK152-$I152)/365.25*12, IF(EI152=0, $DL152, "ERROR"))</f>
        <v>35.022587268993838</v>
      </c>
      <c r="EM152" s="1" t="s">
        <v>45</v>
      </c>
      <c r="EN152" s="1"/>
      <c r="EO152" s="1"/>
      <c r="EP152" s="1"/>
      <c r="EQ152" s="1"/>
      <c r="ER152" s="1"/>
      <c r="ES152" s="1"/>
      <c r="ET152" s="1"/>
      <c r="EU152" s="1"/>
      <c r="EV152" s="1"/>
      <c r="EW152" s="1"/>
      <c r="EX152" s="7">
        <v>0</v>
      </c>
      <c r="FB152" s="1" t="s">
        <v>45</v>
      </c>
      <c r="FC152" s="1">
        <v>0</v>
      </c>
      <c r="FD152" s="1">
        <v>0</v>
      </c>
      <c r="FF152" s="1" t="s">
        <v>45</v>
      </c>
      <c r="FI152" s="20">
        <f>IF(DM152=1, (DO152-I152)/365.25*12, IF(DM152=0, DL152, "ERROR"))</f>
        <v>35.022587268993838</v>
      </c>
      <c r="FS152" s="3"/>
      <c r="FU152" s="1">
        <v>1</v>
      </c>
      <c r="FV152" s="1">
        <v>0</v>
      </c>
      <c r="FW152" s="1">
        <v>0</v>
      </c>
      <c r="FX152" s="1">
        <v>0</v>
      </c>
      <c r="GA152" s="1">
        <v>0</v>
      </c>
      <c r="GB152" s="1">
        <v>0</v>
      </c>
      <c r="GC152" s="1">
        <v>108.9746</v>
      </c>
      <c r="GD152" s="1">
        <v>25.200299999999999</v>
      </c>
      <c r="GE152" s="25">
        <v>30</v>
      </c>
      <c r="GF152" s="25">
        <v>30</v>
      </c>
      <c r="GG152" s="1">
        <v>1584.2392</v>
      </c>
      <c r="GH152" s="24">
        <v>968.07320000000004</v>
      </c>
    </row>
    <row r="153" spans="1:190" ht="12.75" customHeight="1">
      <c r="A153" s="1" t="s">
        <v>958</v>
      </c>
      <c r="B153" s="1" t="s">
        <v>957</v>
      </c>
      <c r="C153" s="1">
        <v>52779802</v>
      </c>
      <c r="D153" s="1">
        <v>1</v>
      </c>
      <c r="E153" s="1">
        <v>0</v>
      </c>
      <c r="F153" s="1">
        <v>1</v>
      </c>
      <c r="G153" s="1">
        <v>1</v>
      </c>
      <c r="I153" s="3">
        <v>43745</v>
      </c>
      <c r="J153" s="3">
        <v>43719</v>
      </c>
      <c r="K153" s="3">
        <v>24182</v>
      </c>
      <c r="L153" s="5">
        <f>(DAYS360(K153,I153))/365</f>
        <v>52.824657534246576</v>
      </c>
      <c r="M153" s="1" t="s">
        <v>5</v>
      </c>
      <c r="N153" s="1">
        <v>1</v>
      </c>
      <c r="O153" s="1">
        <v>0</v>
      </c>
      <c r="P153" s="1" t="s">
        <v>81</v>
      </c>
      <c r="Q153" s="1">
        <v>2</v>
      </c>
      <c r="R153" s="1" t="s">
        <v>18</v>
      </c>
      <c r="S153" s="1" t="s">
        <v>956</v>
      </c>
      <c r="T153" s="1" t="s">
        <v>67</v>
      </c>
      <c r="U153" s="1">
        <v>0</v>
      </c>
      <c r="V153" s="1">
        <v>0</v>
      </c>
      <c r="W153" s="1">
        <v>1</v>
      </c>
      <c r="X153" s="1" t="s">
        <v>955</v>
      </c>
      <c r="Y153" s="1">
        <v>2</v>
      </c>
      <c r="Z153" s="1">
        <v>2</v>
      </c>
      <c r="AA153" s="1" t="s">
        <v>116</v>
      </c>
      <c r="AC153" s="1">
        <v>3</v>
      </c>
      <c r="AD153" s="1" t="s">
        <v>954</v>
      </c>
      <c r="AE153" s="1" t="s">
        <v>148</v>
      </c>
      <c r="AF153" s="1">
        <v>0</v>
      </c>
      <c r="AG153" s="1">
        <v>0</v>
      </c>
      <c r="AH153" s="1">
        <v>0</v>
      </c>
      <c r="AI153" s="3">
        <v>43745</v>
      </c>
      <c r="AJ153" s="3">
        <v>43781</v>
      </c>
      <c r="AK153" s="6" t="s">
        <v>953</v>
      </c>
      <c r="AM153" s="1">
        <v>0</v>
      </c>
      <c r="AN153" s="1">
        <v>0</v>
      </c>
      <c r="AO153" s="1">
        <v>0</v>
      </c>
      <c r="AP153" s="1">
        <v>0</v>
      </c>
      <c r="AQ153" s="1">
        <v>1</v>
      </c>
      <c r="AR153" s="1">
        <v>1</v>
      </c>
      <c r="AS153" s="16">
        <f>IF(AND(AM153=0,AU153&lt;=2), 1, 0)</f>
        <v>1</v>
      </c>
      <c r="AT153" s="16">
        <v>1</v>
      </c>
      <c r="AU153" s="1">
        <v>2</v>
      </c>
      <c r="AV153" s="1">
        <v>0.5</v>
      </c>
      <c r="AW153" s="1"/>
      <c r="AX153" s="7" t="s">
        <v>45</v>
      </c>
      <c r="AY153" s="7" t="s">
        <v>45</v>
      </c>
      <c r="AZ153" s="7" t="s">
        <v>46</v>
      </c>
      <c r="BA153" s="1">
        <v>3.3</v>
      </c>
      <c r="BE153" s="1">
        <v>211.9</v>
      </c>
      <c r="BG153" s="1">
        <v>45</v>
      </c>
      <c r="BH153" s="1">
        <v>45</v>
      </c>
      <c r="BI153" s="1">
        <v>0</v>
      </c>
      <c r="BJ153" s="1">
        <v>0</v>
      </c>
      <c r="BK153" s="1">
        <f>BH153+BI153</f>
        <v>45</v>
      </c>
      <c r="BL153" s="1">
        <v>25</v>
      </c>
      <c r="BM153" s="1">
        <v>1.8</v>
      </c>
      <c r="BN153" s="1" t="s">
        <v>62</v>
      </c>
      <c r="BO153" s="1">
        <v>1</v>
      </c>
      <c r="BP153" s="1">
        <v>1</v>
      </c>
      <c r="BQ153" s="1">
        <v>1</v>
      </c>
      <c r="BR153" s="3">
        <v>43745</v>
      </c>
      <c r="BS153" s="1" t="s">
        <v>61</v>
      </c>
      <c r="BT153" s="12" t="s">
        <v>60</v>
      </c>
      <c r="BU153" s="1">
        <v>5</v>
      </c>
      <c r="BV153" s="1">
        <v>1</v>
      </c>
      <c r="BW153" s="1">
        <v>6.59</v>
      </c>
      <c r="BX153" s="1">
        <v>0.52</v>
      </c>
      <c r="BY153" s="1">
        <v>0.39200000000000002</v>
      </c>
      <c r="BZ153" s="1">
        <v>15.8</v>
      </c>
      <c r="CA153" s="1">
        <v>227</v>
      </c>
      <c r="CB153" s="1">
        <v>1.9</v>
      </c>
      <c r="CC153" s="1">
        <v>10.9</v>
      </c>
      <c r="CD153" s="1">
        <v>2.8</v>
      </c>
      <c r="CE153" s="1">
        <v>1</v>
      </c>
      <c r="CF153" s="3">
        <v>43818</v>
      </c>
      <c r="CG153" s="7">
        <f>CF153-AJ153</f>
        <v>37</v>
      </c>
      <c r="CH153" s="1" t="s">
        <v>952</v>
      </c>
      <c r="CI153" s="1" t="s">
        <v>183</v>
      </c>
      <c r="CJ153" s="1" t="s">
        <v>182</v>
      </c>
      <c r="CK153" s="1" t="s">
        <v>811</v>
      </c>
      <c r="CL153" s="1" t="s">
        <v>45</v>
      </c>
      <c r="CM153" s="1">
        <v>1</v>
      </c>
      <c r="CN153" s="12" t="str">
        <f>MID(CK153,4,1)</f>
        <v>0</v>
      </c>
      <c r="CO153" s="1" t="s">
        <v>911</v>
      </c>
      <c r="CP153" s="1">
        <v>0</v>
      </c>
      <c r="CQ153" s="1" t="s">
        <v>45</v>
      </c>
      <c r="CR153" s="1">
        <v>0</v>
      </c>
      <c r="CS153" s="1" t="s">
        <v>45</v>
      </c>
      <c r="CT153" s="1" t="s">
        <v>45</v>
      </c>
      <c r="CU153" s="1" t="s">
        <v>45</v>
      </c>
      <c r="CV153" s="1">
        <v>0</v>
      </c>
      <c r="CW153" s="1" t="s">
        <v>45</v>
      </c>
      <c r="CX153" s="1" t="s">
        <v>45</v>
      </c>
      <c r="CY153" s="1" t="s">
        <v>45</v>
      </c>
      <c r="CZ153" s="1">
        <v>0</v>
      </c>
      <c r="DA153" s="1">
        <v>52</v>
      </c>
      <c r="DB153" s="2">
        <f>CZ153/DA153*100</f>
        <v>0</v>
      </c>
      <c r="DC153" s="1">
        <v>0</v>
      </c>
      <c r="DD153" s="1">
        <v>0</v>
      </c>
      <c r="DE153" s="1">
        <v>0</v>
      </c>
      <c r="DF153" s="1">
        <v>0</v>
      </c>
      <c r="DG153" s="26" t="s">
        <v>951</v>
      </c>
      <c r="DH153" s="7">
        <v>0</v>
      </c>
      <c r="DI153" s="7">
        <v>0</v>
      </c>
      <c r="DJ153" s="3">
        <v>44750</v>
      </c>
      <c r="DK153" s="1" t="s">
        <v>75</v>
      </c>
      <c r="DL153" s="1">
        <f>(DJ153-I153)/365.25*12</f>
        <v>33.01848049281314</v>
      </c>
      <c r="DM153" s="1">
        <v>0</v>
      </c>
      <c r="DN153" s="1" t="s">
        <v>45</v>
      </c>
      <c r="DO153" s="1" t="s">
        <v>45</v>
      </c>
      <c r="DP153" s="6" t="s">
        <v>45</v>
      </c>
      <c r="DQ153" s="7">
        <v>0</v>
      </c>
      <c r="DR153" s="3" t="s">
        <v>45</v>
      </c>
      <c r="DS153" s="10">
        <f>IF(DQ153=1, (DR153-$I153)/365.25*12, IF(DQ153=0, $DL153, "ERROR"))</f>
        <v>33.01848049281314</v>
      </c>
      <c r="DT153" s="7">
        <v>0</v>
      </c>
      <c r="DU153" s="7">
        <v>0</v>
      </c>
      <c r="DV153" s="7">
        <v>0</v>
      </c>
      <c r="DW153" s="7">
        <f>DU153*(1-DV153)</f>
        <v>0</v>
      </c>
      <c r="DX153" s="7">
        <f>(1-DU153)*DV153</f>
        <v>0</v>
      </c>
      <c r="DY153" s="7">
        <f>DU153*DV153</f>
        <v>0</v>
      </c>
      <c r="DZ153" s="3" t="s">
        <v>45</v>
      </c>
      <c r="EA153" s="10">
        <f>IF(DT153=1, (DZ153-$I153)/365.25*12, IF(DT153=0, $DL153, "ERROR"))</f>
        <v>33.01848049281314</v>
      </c>
      <c r="EB153" s="7">
        <v>0</v>
      </c>
      <c r="EC153" s="7">
        <v>0</v>
      </c>
      <c r="ED153" s="7">
        <f>1-((1-DQ153)*(1-DT153))</f>
        <v>0</v>
      </c>
      <c r="EE153" s="3" t="s">
        <v>45</v>
      </c>
      <c r="EF153" s="1" t="s">
        <v>45</v>
      </c>
      <c r="EG153" s="7" t="s">
        <v>45</v>
      </c>
      <c r="EH153" s="1" t="s">
        <v>45</v>
      </c>
      <c r="EI153" s="1">
        <v>0</v>
      </c>
      <c r="EJ153" s="7">
        <f>(1-DQ153)*DX153*(1-EI153)</f>
        <v>0</v>
      </c>
      <c r="EK153" s="1" t="s">
        <v>45</v>
      </c>
      <c r="EL153" s="10">
        <f>IF(EI153=1, (EK153-$I153)/365.25*12, IF(EI153=0, $DL153, "ERROR"))</f>
        <v>33.01848049281314</v>
      </c>
      <c r="EM153" s="1" t="s">
        <v>45</v>
      </c>
      <c r="EN153" s="1"/>
      <c r="EO153" s="1"/>
      <c r="EP153" s="1"/>
      <c r="EQ153" s="1"/>
      <c r="ER153" s="1"/>
      <c r="ES153" s="1"/>
      <c r="ET153" s="1"/>
      <c r="EU153" s="1"/>
      <c r="EV153" s="1"/>
      <c r="EW153" s="1"/>
      <c r="EX153" s="7">
        <v>0</v>
      </c>
      <c r="FB153" s="1" t="s">
        <v>45</v>
      </c>
      <c r="FC153" s="1">
        <v>0</v>
      </c>
      <c r="FD153" s="1">
        <v>0</v>
      </c>
      <c r="FF153" s="1" t="s">
        <v>45</v>
      </c>
      <c r="FI153" s="20">
        <f>IF(DM153=1, (DO153-I153)/365.25*12, IF(DM153=0, DL153, "ERROR"))</f>
        <v>33.01848049281314</v>
      </c>
      <c r="FU153" s="1">
        <v>0</v>
      </c>
      <c r="FV153" s="1">
        <v>0</v>
      </c>
      <c r="FW153" s="1">
        <v>0</v>
      </c>
      <c r="FX153" s="1">
        <v>0</v>
      </c>
      <c r="GA153" s="1">
        <v>10</v>
      </c>
      <c r="GB153" s="1">
        <v>10</v>
      </c>
      <c r="GC153" s="1">
        <v>4091.8528999999999</v>
      </c>
      <c r="GD153" s="1">
        <v>2955.7186999999999</v>
      </c>
      <c r="GE153" s="25">
        <v>8</v>
      </c>
      <c r="GF153" s="25">
        <v>8</v>
      </c>
      <c r="GG153" s="1">
        <v>649.01729999999998</v>
      </c>
      <c r="GH153" s="24">
        <v>410.6728</v>
      </c>
    </row>
    <row r="154" spans="1:190" ht="12.75" customHeight="1">
      <c r="A154" s="1" t="s">
        <v>950</v>
      </c>
      <c r="B154" s="1" t="s">
        <v>949</v>
      </c>
      <c r="C154" s="1">
        <v>53004114</v>
      </c>
      <c r="D154" s="1">
        <v>1</v>
      </c>
      <c r="E154" s="1">
        <v>0</v>
      </c>
      <c r="F154" s="1">
        <v>1</v>
      </c>
      <c r="G154" s="1">
        <v>1</v>
      </c>
      <c r="H154" s="1" t="s">
        <v>948</v>
      </c>
      <c r="I154" s="3">
        <v>43810</v>
      </c>
      <c r="J154" s="3">
        <v>43782</v>
      </c>
      <c r="K154" s="3">
        <v>21840</v>
      </c>
      <c r="L154" s="5">
        <f>(DAYS360(K154,I154))/365</f>
        <v>59.326027397260276</v>
      </c>
      <c r="M154" s="1" t="s">
        <v>5</v>
      </c>
      <c r="N154" s="1">
        <v>1</v>
      </c>
      <c r="O154" s="1">
        <v>0</v>
      </c>
      <c r="P154" s="1" t="s">
        <v>69</v>
      </c>
      <c r="Q154" s="1">
        <v>1</v>
      </c>
      <c r="R154" s="1" t="s">
        <v>18</v>
      </c>
      <c r="S154" s="1" t="s">
        <v>947</v>
      </c>
      <c r="T154" s="1" t="s">
        <v>80</v>
      </c>
      <c r="U154" s="1">
        <v>0</v>
      </c>
      <c r="V154" s="1">
        <v>1</v>
      </c>
      <c r="W154" s="1">
        <v>0</v>
      </c>
      <c r="X154" s="1" t="s">
        <v>243</v>
      </c>
      <c r="Y154" s="1">
        <v>3</v>
      </c>
      <c r="Z154" s="1">
        <v>1</v>
      </c>
      <c r="AA154" s="1" t="s">
        <v>96</v>
      </c>
      <c r="AC154" s="1">
        <v>5</v>
      </c>
      <c r="AD154" s="1" t="s">
        <v>946</v>
      </c>
      <c r="AE154" s="1" t="s">
        <v>945</v>
      </c>
      <c r="AF154" s="1">
        <v>1</v>
      </c>
      <c r="AG154" s="1">
        <v>1</v>
      </c>
      <c r="AH154" s="1">
        <v>0</v>
      </c>
      <c r="AI154" s="3">
        <v>43810</v>
      </c>
      <c r="AJ154" s="3">
        <v>43843</v>
      </c>
      <c r="AK154" s="6" t="s">
        <v>944</v>
      </c>
      <c r="AM154" s="1">
        <v>1</v>
      </c>
      <c r="AN154" s="1">
        <v>0</v>
      </c>
      <c r="AO154" s="1">
        <v>1</v>
      </c>
      <c r="AP154" s="1">
        <v>0</v>
      </c>
      <c r="AQ154" s="1">
        <v>0</v>
      </c>
      <c r="AR154" s="1">
        <v>0</v>
      </c>
      <c r="AS154" s="16">
        <f>IF(AND(AM154=0,AU154&lt;=2), 1, 0)</f>
        <v>0</v>
      </c>
      <c r="AT154" s="16">
        <v>0</v>
      </c>
      <c r="AU154" s="1">
        <v>2</v>
      </c>
      <c r="AV154" s="1">
        <v>0.5</v>
      </c>
      <c r="AW154" s="1"/>
      <c r="AX154" s="7" t="s">
        <v>45</v>
      </c>
      <c r="AY154" s="7" t="s">
        <v>45</v>
      </c>
      <c r="AZ154" s="7" t="s">
        <v>92</v>
      </c>
      <c r="BA154" s="1">
        <f>7.2-2.4+0.3</f>
        <v>5.1000000000000005</v>
      </c>
      <c r="BE154" s="1">
        <v>522</v>
      </c>
      <c r="BG154" s="1">
        <v>44</v>
      </c>
      <c r="BH154" s="1">
        <v>44</v>
      </c>
      <c r="BI154" s="1">
        <v>0</v>
      </c>
      <c r="BJ154" s="1">
        <v>0</v>
      </c>
      <c r="BK154" s="1">
        <f>BH154+BI154</f>
        <v>44</v>
      </c>
      <c r="BL154" s="1">
        <v>22</v>
      </c>
      <c r="BM154" s="1">
        <v>2</v>
      </c>
      <c r="BN154" s="1" t="s">
        <v>62</v>
      </c>
      <c r="BO154" s="1">
        <v>1</v>
      </c>
      <c r="BP154" s="1">
        <v>1</v>
      </c>
      <c r="BQ154" s="1">
        <v>1</v>
      </c>
      <c r="BR154" s="3">
        <v>43810</v>
      </c>
      <c r="BS154" s="1" t="s">
        <v>61</v>
      </c>
      <c r="BT154" s="12" t="s">
        <v>60</v>
      </c>
      <c r="BU154" s="1">
        <v>5</v>
      </c>
      <c r="BV154" s="1">
        <v>1</v>
      </c>
      <c r="BW154" s="1">
        <v>7</v>
      </c>
      <c r="BX154" s="1">
        <v>0.6</v>
      </c>
      <c r="BY154" s="1">
        <v>0.33</v>
      </c>
      <c r="BZ154" s="1">
        <v>13.2</v>
      </c>
      <c r="CA154" s="1">
        <v>222</v>
      </c>
      <c r="CB154" s="1">
        <v>1.86</v>
      </c>
      <c r="CC154" s="1">
        <v>16.899999999999999</v>
      </c>
      <c r="CD154" s="1">
        <v>10.1</v>
      </c>
      <c r="CE154" s="1">
        <v>1</v>
      </c>
      <c r="CF154" s="3">
        <v>43881</v>
      </c>
      <c r="CG154" s="7">
        <f>CF154-AJ154</f>
        <v>38</v>
      </c>
      <c r="CH154" s="1" t="s">
        <v>943</v>
      </c>
      <c r="CI154" s="1" t="s">
        <v>183</v>
      </c>
      <c r="CJ154" s="1" t="s">
        <v>182</v>
      </c>
      <c r="CK154" s="1" t="s">
        <v>942</v>
      </c>
      <c r="CL154" s="1" t="s">
        <v>96</v>
      </c>
      <c r="CM154" s="1">
        <v>0</v>
      </c>
      <c r="CN154" s="12" t="str">
        <f>MID(CK154,4,1)</f>
        <v>1</v>
      </c>
      <c r="CO154" s="1" t="s">
        <v>928</v>
      </c>
      <c r="CP154" s="1">
        <v>1</v>
      </c>
      <c r="CQ154" s="1" t="s">
        <v>941</v>
      </c>
      <c r="CR154" s="1">
        <v>1.2</v>
      </c>
      <c r="CS154" s="1" t="s">
        <v>742</v>
      </c>
      <c r="CT154" s="1" t="s">
        <v>511</v>
      </c>
      <c r="CU154" s="1" t="s">
        <v>472</v>
      </c>
      <c r="CV154" s="1">
        <v>0</v>
      </c>
      <c r="CW154" s="1">
        <v>2.5</v>
      </c>
      <c r="CX154" s="1">
        <v>4</v>
      </c>
      <c r="CY154" s="1">
        <v>0.4</v>
      </c>
      <c r="CZ154" s="1">
        <v>4</v>
      </c>
      <c r="DA154" s="1">
        <f>43+56</f>
        <v>99</v>
      </c>
      <c r="DB154" s="2">
        <f>CZ154/DA154*100</f>
        <v>4.0404040404040407</v>
      </c>
      <c r="DC154" s="1">
        <v>0</v>
      </c>
      <c r="DD154" s="1">
        <v>0</v>
      </c>
      <c r="DE154" s="1">
        <v>0</v>
      </c>
      <c r="DF154" s="1">
        <v>0</v>
      </c>
      <c r="DG154" s="26" t="s">
        <v>940</v>
      </c>
      <c r="DH154" s="7">
        <v>0</v>
      </c>
      <c r="DI154" s="7">
        <v>1</v>
      </c>
      <c r="DJ154" s="3">
        <v>44295</v>
      </c>
      <c r="DK154" s="1" t="s">
        <v>939</v>
      </c>
      <c r="DL154" s="1">
        <f>(DJ154-I154)/365.25*12</f>
        <v>15.93429158110883</v>
      </c>
      <c r="DM154" s="1">
        <v>1</v>
      </c>
      <c r="DN154" s="1" t="s">
        <v>938</v>
      </c>
      <c r="DO154" s="3">
        <v>44139</v>
      </c>
      <c r="DP154" s="6" t="s">
        <v>937</v>
      </c>
      <c r="DQ154" s="7">
        <v>0</v>
      </c>
      <c r="DR154" s="3" t="s">
        <v>45</v>
      </c>
      <c r="DS154" s="10">
        <f>IF(DQ154=1, (DR154-$I154)/365.25*12, IF(DQ154=0, $DL154, "ERROR"))</f>
        <v>15.93429158110883</v>
      </c>
      <c r="DT154" s="7">
        <v>1</v>
      </c>
      <c r="DU154" s="7">
        <v>1</v>
      </c>
      <c r="DV154" s="7">
        <v>1</v>
      </c>
      <c r="DW154" s="7">
        <f>DU154*(1-DV154)</f>
        <v>0</v>
      </c>
      <c r="DX154" s="7">
        <f>(1-DU154)*DV154</f>
        <v>0</v>
      </c>
      <c r="DY154" s="7">
        <f>DU154*DV154</f>
        <v>1</v>
      </c>
      <c r="DZ154" s="3">
        <v>44139</v>
      </c>
      <c r="EA154" s="10">
        <f>IF(DT154=1, (DZ154-$I154)/365.25*12, IF(DT154=0, $DL154, "ERROR"))</f>
        <v>10.809034907597535</v>
      </c>
      <c r="EB154" s="7">
        <v>1</v>
      </c>
      <c r="EC154" s="7">
        <v>0</v>
      </c>
      <c r="ED154" s="7">
        <f>1-((1-DQ154)*(1-DT154))</f>
        <v>1</v>
      </c>
      <c r="EE154" s="11">
        <f>MIN(DR154,DZ154)</f>
        <v>44139</v>
      </c>
      <c r="EF154" s="1" t="s">
        <v>936</v>
      </c>
      <c r="EG154" s="7" t="s">
        <v>45</v>
      </c>
      <c r="EH154" s="1" t="s">
        <v>45</v>
      </c>
      <c r="EI154" s="1">
        <v>0</v>
      </c>
      <c r="EJ154" s="7">
        <f>(1-DQ154)*DX154*(1-EI154)</f>
        <v>0</v>
      </c>
      <c r="EK154" s="1" t="s">
        <v>45</v>
      </c>
      <c r="EL154" s="10">
        <f>IF(EI154=1, (EK154-$I154)/365.25*12, IF(EI154=0, $DL154, "ERROR"))</f>
        <v>15.93429158110883</v>
      </c>
      <c r="EM154" s="1" t="s">
        <v>45</v>
      </c>
      <c r="EN154" s="1"/>
      <c r="EO154" s="1"/>
      <c r="EP154" s="1"/>
      <c r="EQ154" s="1"/>
      <c r="ER154" s="1"/>
      <c r="ES154" s="1"/>
      <c r="ET154" s="1"/>
      <c r="EU154" s="1"/>
      <c r="EV154" s="1"/>
      <c r="EW154" s="1"/>
      <c r="EX154" s="7">
        <v>0</v>
      </c>
      <c r="FB154" s="1" t="s">
        <v>45</v>
      </c>
      <c r="FC154" s="1">
        <v>0</v>
      </c>
      <c r="FD154" s="1">
        <v>0</v>
      </c>
      <c r="FF154" s="1" t="s">
        <v>45</v>
      </c>
      <c r="FI154" s="20">
        <f>IF(DM154=1, (DO154-I154)/365.25*12, IF(DM154=0, DL154, "ERROR"))</f>
        <v>10.809034907597535</v>
      </c>
      <c r="FU154" s="1">
        <v>0</v>
      </c>
      <c r="FV154" s="1">
        <v>0</v>
      </c>
      <c r="FW154" s="1">
        <v>0</v>
      </c>
      <c r="FX154" s="1">
        <v>0</v>
      </c>
      <c r="GA154" s="1">
        <v>2</v>
      </c>
      <c r="GB154" s="1">
        <v>1</v>
      </c>
      <c r="GC154" s="1">
        <v>128.2236</v>
      </c>
      <c r="GD154" s="1">
        <v>85.018100000000004</v>
      </c>
      <c r="GE154" s="25">
        <v>3</v>
      </c>
      <c r="GF154" s="25">
        <v>3</v>
      </c>
      <c r="GG154" s="1">
        <v>626.4402</v>
      </c>
      <c r="GH154" s="24">
        <v>100.8558</v>
      </c>
    </row>
    <row r="155" spans="1:190" ht="12.75" customHeight="1">
      <c r="A155" s="1" t="s">
        <v>935</v>
      </c>
      <c r="B155" s="1" t="s">
        <v>934</v>
      </c>
      <c r="C155" s="1">
        <v>53054094</v>
      </c>
      <c r="D155" s="1">
        <v>1</v>
      </c>
      <c r="E155" s="1">
        <v>0</v>
      </c>
      <c r="F155" s="1">
        <v>1</v>
      </c>
      <c r="G155" s="1">
        <v>1</v>
      </c>
      <c r="I155" s="3">
        <v>43812</v>
      </c>
      <c r="J155" s="3">
        <v>43776</v>
      </c>
      <c r="K155" s="3">
        <v>21445</v>
      </c>
      <c r="L155" s="5">
        <f>(DAYS360(K155,I155))/365</f>
        <v>60.4</v>
      </c>
      <c r="M155" s="1" t="s">
        <v>5</v>
      </c>
      <c r="N155" s="1">
        <v>1</v>
      </c>
      <c r="O155" s="1">
        <v>0</v>
      </c>
      <c r="P155" s="1" t="s">
        <v>81</v>
      </c>
      <c r="Q155" s="1">
        <v>2</v>
      </c>
      <c r="R155" s="1" t="s">
        <v>18</v>
      </c>
      <c r="S155" s="1" t="s">
        <v>880</v>
      </c>
      <c r="T155" s="1" t="s">
        <v>80</v>
      </c>
      <c r="U155" s="1">
        <v>0</v>
      </c>
      <c r="V155" s="1">
        <v>1</v>
      </c>
      <c r="W155" s="1">
        <v>0</v>
      </c>
      <c r="X155" s="1" t="s">
        <v>933</v>
      </c>
      <c r="Y155" s="1">
        <v>2</v>
      </c>
      <c r="Z155" s="1">
        <v>1</v>
      </c>
      <c r="AA155" s="1" t="s">
        <v>96</v>
      </c>
      <c r="AC155" s="1">
        <v>5</v>
      </c>
      <c r="AD155" s="1" t="s">
        <v>932</v>
      </c>
      <c r="AE155" s="1" t="s">
        <v>94</v>
      </c>
      <c r="AF155" s="1">
        <v>1</v>
      </c>
      <c r="AG155" s="1">
        <v>1</v>
      </c>
      <c r="AH155" s="1">
        <v>1</v>
      </c>
      <c r="AI155" s="3">
        <v>43812</v>
      </c>
      <c r="AJ155" s="3">
        <v>43845</v>
      </c>
      <c r="AK155" s="6" t="s">
        <v>931</v>
      </c>
      <c r="AM155" s="1">
        <v>1</v>
      </c>
      <c r="AN155" s="1">
        <v>0</v>
      </c>
      <c r="AO155" s="1">
        <v>1</v>
      </c>
      <c r="AP155" s="1">
        <v>0</v>
      </c>
      <c r="AQ155" s="1">
        <v>0</v>
      </c>
      <c r="AR155" s="1">
        <v>0</v>
      </c>
      <c r="AS155" s="16">
        <f>IF(AND(AM155=0,AU155&lt;=2), 1, 0)</f>
        <v>0</v>
      </c>
      <c r="AT155" s="16"/>
      <c r="AU155" s="1">
        <v>2</v>
      </c>
      <c r="AV155" s="1">
        <v>0.5</v>
      </c>
      <c r="AW155" s="1"/>
      <c r="AX155" s="7" t="s">
        <v>45</v>
      </c>
      <c r="AY155" s="7" t="s">
        <v>45</v>
      </c>
      <c r="AZ155" s="1">
        <v>0.7</v>
      </c>
      <c r="BA155" s="1">
        <v>0.9</v>
      </c>
      <c r="BE155" s="1">
        <v>534.20000000000005</v>
      </c>
      <c r="BG155" s="1">
        <v>44</v>
      </c>
      <c r="BH155" s="1">
        <v>44</v>
      </c>
      <c r="BI155" s="1">
        <v>0</v>
      </c>
      <c r="BJ155" s="1">
        <v>0</v>
      </c>
      <c r="BK155" s="1">
        <f>BH155+BI155</f>
        <v>44</v>
      </c>
      <c r="BL155" s="1">
        <v>22</v>
      </c>
      <c r="BM155" s="1">
        <v>2</v>
      </c>
      <c r="BN155" s="1" t="s">
        <v>62</v>
      </c>
      <c r="BO155" s="1">
        <v>1</v>
      </c>
      <c r="BP155" s="1">
        <v>1</v>
      </c>
      <c r="BQ155" s="1">
        <v>1</v>
      </c>
      <c r="BR155" s="3">
        <v>43812</v>
      </c>
      <c r="BS155" s="1" t="s">
        <v>61</v>
      </c>
      <c r="BT155" s="12" t="s">
        <v>60</v>
      </c>
      <c r="BU155" s="1">
        <v>5</v>
      </c>
      <c r="BV155" s="1">
        <v>1</v>
      </c>
      <c r="BW155" s="1">
        <v>6.9</v>
      </c>
      <c r="BX155" s="1">
        <v>0.39200000000000002</v>
      </c>
      <c r="BY155" s="1">
        <v>0.499</v>
      </c>
      <c r="BZ155" s="1">
        <v>13.3</v>
      </c>
      <c r="CA155" s="1">
        <v>240</v>
      </c>
      <c r="CB155" s="1">
        <v>1.85</v>
      </c>
      <c r="CC155" s="1">
        <v>13.6</v>
      </c>
      <c r="CD155" s="1">
        <v>6.7</v>
      </c>
      <c r="CE155" s="1">
        <v>1</v>
      </c>
      <c r="CF155" s="3">
        <v>43879</v>
      </c>
      <c r="CG155" s="7">
        <f>CF155-AJ155</f>
        <v>34</v>
      </c>
      <c r="CH155" s="1" t="s">
        <v>930</v>
      </c>
      <c r="CI155" s="1" t="s">
        <v>183</v>
      </c>
      <c r="CJ155" s="1" t="s">
        <v>182</v>
      </c>
      <c r="CK155" s="1" t="s">
        <v>929</v>
      </c>
      <c r="CL155" s="1" t="s">
        <v>753</v>
      </c>
      <c r="CM155" s="1">
        <v>0</v>
      </c>
      <c r="CN155" s="12" t="str">
        <f>MID(CK155,4,1)</f>
        <v>1</v>
      </c>
      <c r="CO155" s="1" t="s">
        <v>928</v>
      </c>
      <c r="CP155" s="1">
        <v>1</v>
      </c>
      <c r="CQ155" s="1" t="s">
        <v>927</v>
      </c>
      <c r="CR155" s="1">
        <v>0.8</v>
      </c>
      <c r="CS155" s="1" t="s">
        <v>750</v>
      </c>
      <c r="CT155" s="1" t="s">
        <v>901</v>
      </c>
      <c r="CU155" s="1" t="s">
        <v>454</v>
      </c>
      <c r="CV155" s="1">
        <v>0</v>
      </c>
      <c r="CW155" s="1">
        <v>4.5</v>
      </c>
      <c r="CX155" s="1">
        <v>10.8</v>
      </c>
      <c r="CY155" s="1">
        <v>0.35</v>
      </c>
      <c r="CZ155" s="1">
        <v>5</v>
      </c>
      <c r="DA155" s="1">
        <v>63</v>
      </c>
      <c r="DB155" s="2">
        <f>CZ155/DA155*100</f>
        <v>7.9365079365079358</v>
      </c>
      <c r="DC155" s="1">
        <v>0</v>
      </c>
      <c r="DD155" s="1">
        <v>0</v>
      </c>
      <c r="DE155" s="1">
        <v>0</v>
      </c>
      <c r="DF155" s="1">
        <v>0</v>
      </c>
      <c r="DG155" s="26" t="s">
        <v>926</v>
      </c>
      <c r="DH155" s="7">
        <v>0</v>
      </c>
      <c r="DI155" s="7">
        <v>1</v>
      </c>
      <c r="DJ155" s="3">
        <v>44146</v>
      </c>
      <c r="DK155" s="1" t="s">
        <v>88</v>
      </c>
      <c r="DL155" s="1">
        <f>(DJ155-I155)/365.25*12</f>
        <v>10.973305954825463</v>
      </c>
      <c r="DM155" s="1">
        <v>1</v>
      </c>
      <c r="DN155" s="1" t="s">
        <v>925</v>
      </c>
      <c r="DO155" s="3">
        <v>44108</v>
      </c>
      <c r="DP155" s="6" t="s">
        <v>924</v>
      </c>
      <c r="DQ155" s="7">
        <v>1</v>
      </c>
      <c r="DR155" s="3">
        <v>44108</v>
      </c>
      <c r="DS155" s="10">
        <f>IF(DQ155=1, (DR155-$I155)/365.25*12, IF(DQ155=0, $DL155, "ERROR"))</f>
        <v>9.7248459958932241</v>
      </c>
      <c r="DT155" s="7">
        <v>1</v>
      </c>
      <c r="DU155" s="7">
        <v>1</v>
      </c>
      <c r="DV155" s="7">
        <v>1</v>
      </c>
      <c r="DW155" s="7">
        <f>DU155*(1-DV155)</f>
        <v>0</v>
      </c>
      <c r="DX155" s="7">
        <f>(1-DU155)*DV155</f>
        <v>0</v>
      </c>
      <c r="DY155" s="7">
        <f>DU155*DV155</f>
        <v>1</v>
      </c>
      <c r="DZ155" s="3">
        <v>44108</v>
      </c>
      <c r="EA155" s="10">
        <f>IF(DT155=1, (DZ155-$I155)/365.25*12, IF(DT155=0, $DL155, "ERROR"))</f>
        <v>9.7248459958932241</v>
      </c>
      <c r="EB155" s="7">
        <v>1</v>
      </c>
      <c r="EC155" s="7">
        <v>0</v>
      </c>
      <c r="ED155" s="7">
        <f>1-((1-DQ155)*(1-DT155))</f>
        <v>1</v>
      </c>
      <c r="EE155" s="11">
        <f>MIN(DR155,DZ155)</f>
        <v>44108</v>
      </c>
      <c r="EF155" s="1" t="s">
        <v>45</v>
      </c>
      <c r="EG155" s="7" t="s">
        <v>45</v>
      </c>
      <c r="EH155" s="1" t="s">
        <v>45</v>
      </c>
      <c r="EI155" s="1">
        <v>1</v>
      </c>
      <c r="EJ155" s="7">
        <f>(1-DQ155)*DX155*(1-EI155)</f>
        <v>0</v>
      </c>
      <c r="EK155" s="3">
        <v>44108</v>
      </c>
      <c r="EL155" s="10">
        <f>IF(EI155=1, (EK155-$I155)/365.25*12, IF(EI155=0, $DL155, "ERROR"))</f>
        <v>9.7248459958932241</v>
      </c>
      <c r="EM155" s="1" t="s">
        <v>923</v>
      </c>
      <c r="EN155" s="1"/>
      <c r="EO155" s="1"/>
      <c r="EP155" s="1"/>
      <c r="EQ155" s="1"/>
      <c r="ER155" s="1"/>
      <c r="ES155" s="1"/>
      <c r="ET155" s="1"/>
      <c r="EU155" s="1"/>
      <c r="EV155" s="1"/>
      <c r="EW155" s="1"/>
      <c r="EX155" s="7">
        <v>1</v>
      </c>
      <c r="FB155" s="1" t="s">
        <v>45</v>
      </c>
      <c r="FC155" s="1">
        <v>0</v>
      </c>
      <c r="FD155" s="1">
        <v>0</v>
      </c>
      <c r="FF155" s="1" t="s">
        <v>45</v>
      </c>
      <c r="FI155" s="20">
        <f>IF(DM155=1, (DO155-I155)/365.25*12, IF(DM155=0, DL155, "ERROR"))</f>
        <v>9.7248459958932241</v>
      </c>
      <c r="FU155" s="1">
        <v>0</v>
      </c>
      <c r="FV155" s="1">
        <v>0</v>
      </c>
      <c r="FW155" s="1">
        <v>0</v>
      </c>
      <c r="FX155" s="1">
        <v>0</v>
      </c>
      <c r="GA155" s="1">
        <v>50</v>
      </c>
      <c r="GB155" s="1">
        <v>0</v>
      </c>
      <c r="GC155" s="1">
        <v>992.48659999999995</v>
      </c>
      <c r="GD155" s="1">
        <v>68.504000000000005</v>
      </c>
      <c r="GE155" s="25">
        <v>2</v>
      </c>
      <c r="GF155" s="25">
        <v>2</v>
      </c>
      <c r="GG155" s="1">
        <v>493.16609999999997</v>
      </c>
      <c r="GH155" s="24">
        <v>257.12619999999998</v>
      </c>
    </row>
    <row r="156" spans="1:190" ht="12.75" customHeight="1">
      <c r="A156" s="1" t="s">
        <v>897</v>
      </c>
      <c r="B156" s="1" t="s">
        <v>896</v>
      </c>
      <c r="C156" s="1">
        <v>54232556</v>
      </c>
      <c r="D156" s="1">
        <v>1</v>
      </c>
      <c r="E156" s="1">
        <v>0</v>
      </c>
      <c r="F156" s="1">
        <v>1</v>
      </c>
      <c r="G156" s="1">
        <v>1</v>
      </c>
      <c r="I156" s="3">
        <v>44099</v>
      </c>
      <c r="J156" s="3">
        <v>44084</v>
      </c>
      <c r="K156" s="3">
        <v>21501</v>
      </c>
      <c r="L156" s="5">
        <f>(DAYS360(K156,I156))/365</f>
        <v>61.021917808219179</v>
      </c>
      <c r="M156" s="1" t="s">
        <v>5</v>
      </c>
      <c r="N156" s="1">
        <v>1</v>
      </c>
      <c r="O156" s="1">
        <v>0</v>
      </c>
      <c r="P156" s="1" t="s">
        <v>69</v>
      </c>
      <c r="Q156" s="1">
        <v>1</v>
      </c>
      <c r="R156" s="1" t="s">
        <v>18</v>
      </c>
      <c r="S156" s="1">
        <v>30</v>
      </c>
      <c r="T156" s="1" t="s">
        <v>80</v>
      </c>
      <c r="U156" s="1">
        <v>0</v>
      </c>
      <c r="V156" s="1">
        <v>1</v>
      </c>
      <c r="W156" s="1">
        <v>0</v>
      </c>
      <c r="X156" s="1" t="s">
        <v>637</v>
      </c>
      <c r="Y156" s="1">
        <v>3</v>
      </c>
      <c r="Z156" s="1">
        <v>0</v>
      </c>
      <c r="AA156" s="1" t="s">
        <v>65</v>
      </c>
      <c r="AC156" s="1">
        <v>2</v>
      </c>
      <c r="AD156" s="1" t="s">
        <v>64</v>
      </c>
      <c r="AE156" s="1" t="s">
        <v>64</v>
      </c>
      <c r="AF156" s="1">
        <v>0</v>
      </c>
      <c r="AG156" s="1">
        <v>0</v>
      </c>
      <c r="AH156" s="1">
        <v>0</v>
      </c>
      <c r="AI156" s="3">
        <v>44099</v>
      </c>
      <c r="AJ156" s="3">
        <v>44137</v>
      </c>
      <c r="BA156" s="1">
        <v>3.5</v>
      </c>
      <c r="BG156" s="1">
        <v>44</v>
      </c>
      <c r="BH156" s="1">
        <v>22</v>
      </c>
      <c r="BI156" s="1">
        <v>0</v>
      </c>
      <c r="BJ156" s="1">
        <v>0</v>
      </c>
      <c r="BK156" s="1">
        <v>44</v>
      </c>
      <c r="BL156" s="1">
        <v>22</v>
      </c>
      <c r="BM156" s="1">
        <v>2</v>
      </c>
      <c r="BN156" s="1" t="s">
        <v>62</v>
      </c>
      <c r="BO156" s="1">
        <v>1</v>
      </c>
      <c r="BP156" s="1">
        <v>1</v>
      </c>
      <c r="BQ156" s="1">
        <v>1</v>
      </c>
      <c r="BR156" s="3">
        <v>44099</v>
      </c>
      <c r="BS156" s="1" t="s">
        <v>61</v>
      </c>
      <c r="BT156" s="12" t="s">
        <v>60</v>
      </c>
      <c r="BU156" s="1">
        <v>5</v>
      </c>
      <c r="BV156" s="1">
        <v>1</v>
      </c>
      <c r="CE156" s="1">
        <v>1</v>
      </c>
      <c r="CF156" s="3">
        <v>44173</v>
      </c>
      <c r="CG156" s="7">
        <f>CF156-AJ156</f>
        <v>36</v>
      </c>
      <c r="CH156" s="1" t="s">
        <v>895</v>
      </c>
      <c r="CI156" s="17" t="s">
        <v>460</v>
      </c>
      <c r="CJ156" s="1" t="s">
        <v>182</v>
      </c>
      <c r="CK156" s="1" t="s">
        <v>894</v>
      </c>
      <c r="CM156" s="1">
        <v>0</v>
      </c>
      <c r="CN156" s="12" t="str">
        <f>MID(CK156,4,1)</f>
        <v>1</v>
      </c>
      <c r="CO156" s="1" t="s">
        <v>744</v>
      </c>
      <c r="CP156" s="1">
        <v>2</v>
      </c>
      <c r="CQ156" s="1" t="s">
        <v>893</v>
      </c>
      <c r="CR156" s="1">
        <v>1.6</v>
      </c>
      <c r="CS156" s="1" t="s">
        <v>742</v>
      </c>
      <c r="CT156" s="1" t="s">
        <v>473</v>
      </c>
      <c r="CU156" s="1" t="s">
        <v>472</v>
      </c>
      <c r="CV156" s="1">
        <v>0</v>
      </c>
      <c r="CW156" s="1">
        <v>3.2</v>
      </c>
      <c r="CX156" s="1">
        <v>7.3</v>
      </c>
      <c r="CY156" s="1">
        <v>0.6</v>
      </c>
      <c r="CZ156" s="1">
        <v>0</v>
      </c>
      <c r="DA156" s="1">
        <v>118</v>
      </c>
      <c r="DB156" s="2">
        <f>CZ156/DA156*100</f>
        <v>0</v>
      </c>
      <c r="DC156" s="1">
        <v>0</v>
      </c>
      <c r="DD156" s="1">
        <v>0</v>
      </c>
      <c r="DE156" s="1">
        <v>0</v>
      </c>
      <c r="DF156" s="1">
        <v>0</v>
      </c>
      <c r="DG156" s="26" t="s">
        <v>892</v>
      </c>
      <c r="DH156" s="7">
        <v>0</v>
      </c>
      <c r="DI156" s="7">
        <v>0</v>
      </c>
      <c r="DJ156" s="3">
        <v>44848</v>
      </c>
      <c r="DK156" s="1" t="s">
        <v>75</v>
      </c>
      <c r="DL156" s="1">
        <f>(DJ156-I156)/365.25*12</f>
        <v>24.607802874743324</v>
      </c>
      <c r="DM156" s="1">
        <v>0</v>
      </c>
      <c r="DQ156" s="7">
        <v>0</v>
      </c>
      <c r="DT156" s="7">
        <v>0</v>
      </c>
      <c r="DU156" s="7">
        <v>0</v>
      </c>
      <c r="DV156" s="7">
        <v>0</v>
      </c>
      <c r="DW156" s="7">
        <f>DU156*(1-DV156)</f>
        <v>0</v>
      </c>
      <c r="DX156" s="7">
        <f>(1-DU156)*DV156</f>
        <v>0</v>
      </c>
      <c r="DY156" s="7">
        <f>DU156*DV156</f>
        <v>0</v>
      </c>
      <c r="EB156" s="7">
        <v>0</v>
      </c>
      <c r="EC156" s="7">
        <v>0</v>
      </c>
      <c r="ED156" s="7">
        <f>1-((1-DQ156)*(1-DT156))</f>
        <v>0</v>
      </c>
      <c r="EI156" s="1">
        <v>0</v>
      </c>
      <c r="EJ156" s="7">
        <f>(1-DQ156)*DX156*(1-EI156)</f>
        <v>0</v>
      </c>
      <c r="FC156" s="1">
        <v>0</v>
      </c>
      <c r="FD156" s="1">
        <v>0</v>
      </c>
      <c r="FF156" s="1" t="s">
        <v>45</v>
      </c>
      <c r="FI156" s="20">
        <f>IF(DM156=1, (DO156-I156)/365.25*12, IF(DM156=0, DL156, "ERROR"))</f>
        <v>24.607802874743324</v>
      </c>
      <c r="GA156" s="1">
        <v>0</v>
      </c>
      <c r="GB156" s="1">
        <v>0</v>
      </c>
      <c r="GC156" s="1">
        <v>187.3432</v>
      </c>
      <c r="GD156" s="1">
        <v>173.50550000000001</v>
      </c>
      <c r="GE156" s="25">
        <v>15</v>
      </c>
      <c r="GF156" s="25">
        <v>10</v>
      </c>
      <c r="GG156" s="1">
        <v>1096.4259999999999</v>
      </c>
      <c r="GH156" s="24">
        <v>607.91610000000003</v>
      </c>
    </row>
    <row r="157" spans="1:190" ht="12.75" customHeight="1">
      <c r="A157" s="1" t="s">
        <v>874</v>
      </c>
      <c r="B157" s="1" t="s">
        <v>873</v>
      </c>
      <c r="C157" s="1">
        <v>54502130</v>
      </c>
      <c r="D157" s="1">
        <v>1</v>
      </c>
      <c r="E157" s="1">
        <v>0</v>
      </c>
      <c r="F157" s="1">
        <v>1</v>
      </c>
      <c r="G157" s="1">
        <v>1</v>
      </c>
      <c r="I157" s="3">
        <v>44180</v>
      </c>
      <c r="J157" s="3">
        <v>44154</v>
      </c>
      <c r="K157" s="3">
        <v>24697</v>
      </c>
      <c r="L157" s="5">
        <f>(DAYS360(K157,I157))/365</f>
        <v>52.608219178082194</v>
      </c>
      <c r="M157" s="1" t="s">
        <v>5</v>
      </c>
      <c r="N157" s="1">
        <v>1</v>
      </c>
      <c r="O157" s="1">
        <v>0</v>
      </c>
      <c r="P157" s="1" t="s">
        <v>69</v>
      </c>
      <c r="Q157" s="1">
        <v>1</v>
      </c>
      <c r="R157" s="1" t="s">
        <v>18</v>
      </c>
      <c r="S157" s="1">
        <v>30</v>
      </c>
      <c r="T157" s="1" t="s">
        <v>80</v>
      </c>
      <c r="U157" s="1">
        <v>0</v>
      </c>
      <c r="V157" s="1">
        <v>1</v>
      </c>
      <c r="W157" s="1">
        <v>0</v>
      </c>
      <c r="X157" s="1" t="s">
        <v>117</v>
      </c>
      <c r="Y157" s="1">
        <v>3</v>
      </c>
      <c r="Z157" s="1">
        <v>1</v>
      </c>
      <c r="AA157" s="1" t="s">
        <v>116</v>
      </c>
      <c r="AC157" s="1">
        <v>3</v>
      </c>
      <c r="AD157" s="1" t="s">
        <v>872</v>
      </c>
      <c r="AE157" s="1" t="s">
        <v>114</v>
      </c>
      <c r="AF157" s="1">
        <v>0</v>
      </c>
      <c r="AG157" s="1">
        <v>0</v>
      </c>
      <c r="AH157" s="1">
        <v>0</v>
      </c>
      <c r="AI157" s="3">
        <v>44180</v>
      </c>
      <c r="AJ157" s="3">
        <v>44211</v>
      </c>
      <c r="BA157" s="1">
        <f>6+1.5+0.5</f>
        <v>8</v>
      </c>
      <c r="BG157" s="1">
        <v>44</v>
      </c>
      <c r="BH157" s="1">
        <v>22</v>
      </c>
      <c r="BI157" s="1">
        <v>0</v>
      </c>
      <c r="BJ157" s="1">
        <v>0</v>
      </c>
      <c r="BK157" s="1">
        <v>44</v>
      </c>
      <c r="BL157" s="1">
        <v>22</v>
      </c>
      <c r="BM157" s="1">
        <v>2</v>
      </c>
      <c r="BN157" s="1" t="s">
        <v>62</v>
      </c>
      <c r="BO157" s="1">
        <v>1</v>
      </c>
      <c r="BP157" s="1">
        <v>1</v>
      </c>
      <c r="BQ157" s="1">
        <v>1</v>
      </c>
      <c r="BR157" s="3">
        <v>44180</v>
      </c>
      <c r="BS157" s="1" t="s">
        <v>61</v>
      </c>
      <c r="BT157" s="12" t="s">
        <v>60</v>
      </c>
      <c r="BU157" s="1">
        <v>5</v>
      </c>
      <c r="BV157" s="1">
        <v>1</v>
      </c>
      <c r="CE157" s="1">
        <v>1</v>
      </c>
      <c r="CF157" s="3">
        <v>44257</v>
      </c>
      <c r="CG157" s="7">
        <f>CF157-AJ157</f>
        <v>46</v>
      </c>
      <c r="CH157" s="1" t="s">
        <v>871</v>
      </c>
      <c r="CI157" s="17" t="s">
        <v>460</v>
      </c>
      <c r="CJ157" s="1" t="s">
        <v>182</v>
      </c>
      <c r="CK157" s="1" t="s">
        <v>717</v>
      </c>
      <c r="CM157" s="1">
        <v>0</v>
      </c>
      <c r="CN157" s="12" t="str">
        <f>MID(CK157,4,1)</f>
        <v>3</v>
      </c>
      <c r="CO157" s="1" t="s">
        <v>744</v>
      </c>
      <c r="CP157" s="1">
        <v>2</v>
      </c>
      <c r="CQ157" s="1" t="s">
        <v>870</v>
      </c>
      <c r="CR157" s="1">
        <v>2</v>
      </c>
      <c r="CS157" s="1" t="s">
        <v>742</v>
      </c>
      <c r="CT157" s="1" t="s">
        <v>511</v>
      </c>
      <c r="CU157" s="1" t="s">
        <v>472</v>
      </c>
      <c r="CV157" s="1">
        <v>0</v>
      </c>
      <c r="CW157" s="1">
        <v>3</v>
      </c>
      <c r="CX157" s="1">
        <v>9.5</v>
      </c>
      <c r="CY157" s="1">
        <v>2.2999999999999998</v>
      </c>
      <c r="CZ157" s="1">
        <v>1</v>
      </c>
      <c r="DA157" s="1">
        <v>61</v>
      </c>
      <c r="DB157" s="2">
        <f>CZ157/DA157*100</f>
        <v>1.639344262295082</v>
      </c>
      <c r="DC157" s="1">
        <v>0</v>
      </c>
      <c r="DD157" s="1">
        <v>0</v>
      </c>
      <c r="DE157" s="1">
        <v>0</v>
      </c>
      <c r="DF157" s="1">
        <v>0</v>
      </c>
      <c r="DG157" s="26" t="s">
        <v>869</v>
      </c>
      <c r="DH157" s="7">
        <v>0</v>
      </c>
      <c r="DI157" s="7">
        <v>1</v>
      </c>
      <c r="DJ157" s="3">
        <v>44704</v>
      </c>
      <c r="DK157" s="1" t="s">
        <v>868</v>
      </c>
      <c r="DL157" s="1">
        <f>(DJ157-I157)/365.25*12</f>
        <v>17.215605749486652</v>
      </c>
      <c r="DM157" s="1">
        <v>1</v>
      </c>
      <c r="DN157" s="1" t="s">
        <v>867</v>
      </c>
      <c r="DO157" s="3">
        <v>44529</v>
      </c>
      <c r="DP157" s="6" t="s">
        <v>866</v>
      </c>
      <c r="DQ157" s="7">
        <v>1</v>
      </c>
      <c r="DR157" s="3">
        <v>44529</v>
      </c>
      <c r="DT157" s="7">
        <v>0</v>
      </c>
      <c r="DU157" s="7">
        <v>0</v>
      </c>
      <c r="DV157" s="7">
        <v>0</v>
      </c>
      <c r="DW157" s="7">
        <f>DU157*(1-DV157)</f>
        <v>0</v>
      </c>
      <c r="DX157" s="7">
        <f>(1-DU157)*DV157</f>
        <v>0</v>
      </c>
      <c r="DY157" s="7">
        <f>DU157*DV157</f>
        <v>0</v>
      </c>
      <c r="EB157" s="7">
        <v>0</v>
      </c>
      <c r="EC157" s="7">
        <v>0</v>
      </c>
      <c r="ED157" s="7">
        <f>1-((1-DQ157)*(1-DT157))</f>
        <v>1</v>
      </c>
      <c r="EI157" s="1">
        <v>0</v>
      </c>
      <c r="EJ157" s="7">
        <f>(1-DQ157)*DX157*(1-EI157)</f>
        <v>0</v>
      </c>
      <c r="FC157" s="6" t="s">
        <v>49</v>
      </c>
      <c r="FD157" s="1">
        <v>1</v>
      </c>
      <c r="FF157" s="3">
        <v>44704</v>
      </c>
      <c r="FI157" s="20">
        <f>IF(DM157=1, (DO157-I157)/365.25*12, IF(DM157=0, DL157, "ERROR"))</f>
        <v>11.466119096509241</v>
      </c>
      <c r="GA157" s="1">
        <v>0.5</v>
      </c>
      <c r="GB157" s="1">
        <v>0.5</v>
      </c>
      <c r="GC157" s="1">
        <v>986.08789999999999</v>
      </c>
      <c r="GD157" s="1">
        <v>311.71190000000001</v>
      </c>
      <c r="GE157" s="25">
        <v>2</v>
      </c>
      <c r="GF157" s="25">
        <v>2</v>
      </c>
      <c r="GG157" s="1">
        <v>132.06360000000001</v>
      </c>
      <c r="GH157" s="24">
        <v>7.6912000000000003</v>
      </c>
    </row>
    <row r="158" spans="1:190" ht="12.75" customHeight="1">
      <c r="A158" s="1" t="s">
        <v>855</v>
      </c>
      <c r="B158" s="1" t="s">
        <v>854</v>
      </c>
      <c r="C158" s="1">
        <v>54601082</v>
      </c>
      <c r="D158" s="1">
        <v>1</v>
      </c>
      <c r="E158" s="1">
        <v>0</v>
      </c>
      <c r="F158" s="1">
        <v>1</v>
      </c>
      <c r="G158" s="1">
        <v>1</v>
      </c>
      <c r="I158" s="3">
        <v>44208</v>
      </c>
      <c r="J158" s="3">
        <v>44182</v>
      </c>
      <c r="K158" s="3">
        <v>24188</v>
      </c>
      <c r="L158" s="5">
        <f>(DAYS360(K158,I158))/365</f>
        <v>54.054794520547944</v>
      </c>
      <c r="M158" s="1" t="s">
        <v>5</v>
      </c>
      <c r="N158" s="1">
        <v>1</v>
      </c>
      <c r="O158" s="1">
        <v>0</v>
      </c>
      <c r="P158" s="1" t="s">
        <v>69</v>
      </c>
      <c r="Q158" s="1">
        <v>1</v>
      </c>
      <c r="R158" s="1" t="s">
        <v>18</v>
      </c>
      <c r="S158" s="1">
        <v>27</v>
      </c>
      <c r="T158" s="1" t="s">
        <v>80</v>
      </c>
      <c r="U158" s="1">
        <v>0</v>
      </c>
      <c r="V158" s="1">
        <v>1</v>
      </c>
      <c r="W158" s="1">
        <v>0</v>
      </c>
      <c r="X158" s="1" t="s">
        <v>853</v>
      </c>
      <c r="Y158" s="1">
        <v>2</v>
      </c>
      <c r="Z158" s="1">
        <v>1</v>
      </c>
      <c r="AA158" s="1" t="s">
        <v>65</v>
      </c>
      <c r="AC158" s="1">
        <v>2</v>
      </c>
      <c r="AD158" s="1" t="s">
        <v>773</v>
      </c>
      <c r="AE158" s="1" t="s">
        <v>114</v>
      </c>
      <c r="AF158" s="1">
        <v>0</v>
      </c>
      <c r="AG158" s="1">
        <v>0</v>
      </c>
      <c r="AH158" s="1">
        <v>0</v>
      </c>
      <c r="AI158" s="3">
        <v>44208</v>
      </c>
      <c r="AJ158" s="3">
        <v>44237</v>
      </c>
      <c r="BA158" s="1">
        <v>3</v>
      </c>
      <c r="BG158" s="1">
        <v>44</v>
      </c>
      <c r="BH158" s="1">
        <v>22</v>
      </c>
      <c r="BI158" s="1">
        <v>0</v>
      </c>
      <c r="BJ158" s="1">
        <v>0</v>
      </c>
      <c r="BK158" s="1">
        <v>44</v>
      </c>
      <c r="BL158" s="1">
        <v>22</v>
      </c>
      <c r="BM158" s="1">
        <v>2</v>
      </c>
      <c r="BN158" s="1" t="s">
        <v>62</v>
      </c>
      <c r="BO158" s="1">
        <v>1</v>
      </c>
      <c r="BP158" s="1">
        <v>1</v>
      </c>
      <c r="BQ158" s="1">
        <v>1</v>
      </c>
      <c r="BR158" s="3">
        <v>44208</v>
      </c>
      <c r="BS158" s="1" t="s">
        <v>61</v>
      </c>
      <c r="BT158" s="12" t="s">
        <v>60</v>
      </c>
      <c r="BU158" s="1">
        <v>5</v>
      </c>
      <c r="BV158" s="1">
        <v>1</v>
      </c>
      <c r="CE158" s="1">
        <v>1</v>
      </c>
      <c r="CF158" s="3">
        <v>44278</v>
      </c>
      <c r="CG158" s="7">
        <f>CF158-AJ158</f>
        <v>41</v>
      </c>
      <c r="CH158" s="1" t="s">
        <v>852</v>
      </c>
      <c r="CI158" s="17" t="s">
        <v>460</v>
      </c>
      <c r="CJ158" s="1" t="s">
        <v>182</v>
      </c>
      <c r="CK158" s="1" t="s">
        <v>771</v>
      </c>
      <c r="CL158" s="1" t="s">
        <v>45</v>
      </c>
      <c r="CM158" s="1">
        <v>0</v>
      </c>
      <c r="CN158" s="12" t="str">
        <f>MID(CK158,4,1)</f>
        <v>0</v>
      </c>
      <c r="CO158" s="1" t="s">
        <v>765</v>
      </c>
      <c r="CP158" s="1">
        <v>0</v>
      </c>
      <c r="CQ158" s="1" t="s">
        <v>45</v>
      </c>
      <c r="CR158" s="1">
        <v>0</v>
      </c>
      <c r="CS158" s="1" t="s">
        <v>45</v>
      </c>
      <c r="CT158" s="1" t="s">
        <v>45</v>
      </c>
      <c r="CU158" s="1" t="s">
        <v>45</v>
      </c>
      <c r="CV158" s="1">
        <v>0</v>
      </c>
      <c r="CW158" s="1" t="s">
        <v>45</v>
      </c>
      <c r="CX158" s="1" t="s">
        <v>45</v>
      </c>
      <c r="CY158" s="1" t="s">
        <v>45</v>
      </c>
      <c r="CZ158" s="1">
        <v>1</v>
      </c>
      <c r="DA158" s="1">
        <v>119</v>
      </c>
      <c r="DB158" s="2">
        <f>CZ158/DA158*100</f>
        <v>0.84033613445378152</v>
      </c>
      <c r="DC158" s="1">
        <v>0</v>
      </c>
      <c r="DD158" s="1">
        <v>0</v>
      </c>
      <c r="DE158" s="1">
        <v>0</v>
      </c>
      <c r="DF158" s="1">
        <v>1</v>
      </c>
      <c r="DG158" s="26" t="s">
        <v>851</v>
      </c>
      <c r="DH158" s="7">
        <v>0</v>
      </c>
      <c r="DI158" s="7">
        <v>0</v>
      </c>
      <c r="DJ158" s="3">
        <v>44888</v>
      </c>
      <c r="DK158" s="1" t="s">
        <v>850</v>
      </c>
      <c r="DL158" s="1">
        <f>(DJ158-I158)/365.25*12</f>
        <v>22.340862422997944</v>
      </c>
      <c r="DM158" s="1">
        <v>1</v>
      </c>
      <c r="DN158" s="1" t="s">
        <v>849</v>
      </c>
      <c r="DO158" s="3">
        <v>44565</v>
      </c>
      <c r="DQ158" s="7">
        <v>1</v>
      </c>
      <c r="DR158" s="3">
        <v>44565</v>
      </c>
      <c r="DT158" s="7">
        <v>1</v>
      </c>
      <c r="DZ158" s="3">
        <v>44565</v>
      </c>
      <c r="EB158" s="7">
        <v>1</v>
      </c>
      <c r="EC158" s="7">
        <v>0</v>
      </c>
      <c r="ED158" s="7">
        <f>1-((1-DQ158)*(1-DT158))</f>
        <v>1</v>
      </c>
      <c r="EE158" s="11">
        <f>MIN(DR158,DZ158)</f>
        <v>44565</v>
      </c>
      <c r="EI158" s="1">
        <v>1</v>
      </c>
      <c r="EK158" s="3">
        <v>44565</v>
      </c>
      <c r="EQ158" s="7">
        <v>1</v>
      </c>
      <c r="FC158" s="6" t="s">
        <v>50</v>
      </c>
      <c r="FD158" s="1">
        <v>0</v>
      </c>
      <c r="FF158" s="1" t="s">
        <v>45</v>
      </c>
      <c r="FI158" s="20">
        <f>IF(DM158=1, (DO158-I158)/365.25*12, IF(DM158=0, DL158, "ERROR"))</f>
        <v>11.728952772073923</v>
      </c>
      <c r="GA158" s="1">
        <v>5</v>
      </c>
      <c r="GB158" s="1">
        <v>5</v>
      </c>
      <c r="GC158" s="1">
        <v>414.26510000000002</v>
      </c>
      <c r="GD158" s="1">
        <v>171.97460000000001</v>
      </c>
      <c r="GE158" s="25">
        <v>20</v>
      </c>
      <c r="GF158" s="25">
        <v>20</v>
      </c>
      <c r="GG158" s="1">
        <v>1443.9689000000001</v>
      </c>
      <c r="GH158" s="24">
        <v>1018.338</v>
      </c>
    </row>
    <row r="159" spans="1:190" ht="12.75" customHeight="1">
      <c r="A159" s="1" t="s">
        <v>840</v>
      </c>
      <c r="B159" s="1" t="s">
        <v>839</v>
      </c>
      <c r="C159" s="1">
        <v>54805891</v>
      </c>
      <c r="D159" s="1">
        <v>1</v>
      </c>
      <c r="E159" s="1">
        <v>0</v>
      </c>
      <c r="F159" s="1">
        <v>1</v>
      </c>
      <c r="G159" s="1">
        <v>1</v>
      </c>
      <c r="I159" s="3">
        <v>44263</v>
      </c>
      <c r="J159" s="3">
        <v>44237</v>
      </c>
      <c r="K159" s="3">
        <v>22143</v>
      </c>
      <c r="L159" s="5">
        <f>(DAYS360(K159,I159))/365</f>
        <v>59.734246575342468</v>
      </c>
      <c r="M159" s="1" t="s">
        <v>5</v>
      </c>
      <c r="N159" s="1">
        <v>1</v>
      </c>
      <c r="O159" s="1">
        <v>0</v>
      </c>
      <c r="P159" s="1" t="s">
        <v>69</v>
      </c>
      <c r="Q159" s="1">
        <v>1</v>
      </c>
      <c r="R159" s="1" t="s">
        <v>18</v>
      </c>
      <c r="S159" s="1" t="s">
        <v>838</v>
      </c>
      <c r="T159" s="1" t="s">
        <v>140</v>
      </c>
      <c r="U159" s="1">
        <v>1</v>
      </c>
      <c r="V159" s="1">
        <v>0</v>
      </c>
      <c r="W159" s="1">
        <v>0</v>
      </c>
      <c r="X159" s="1" t="s">
        <v>117</v>
      </c>
      <c r="Y159" s="1">
        <v>3</v>
      </c>
      <c r="Z159" s="1">
        <v>1</v>
      </c>
      <c r="AA159" s="1" t="s">
        <v>116</v>
      </c>
      <c r="AC159" s="1">
        <v>3</v>
      </c>
      <c r="AD159" s="1" t="s">
        <v>837</v>
      </c>
      <c r="AE159" s="1" t="s">
        <v>114</v>
      </c>
      <c r="AF159" s="1">
        <v>0</v>
      </c>
      <c r="AG159" s="1">
        <v>0</v>
      </c>
      <c r="AH159" s="1">
        <v>0</v>
      </c>
      <c r="AI159" s="3">
        <v>44263</v>
      </c>
      <c r="AJ159" s="3">
        <v>44292</v>
      </c>
      <c r="BA159" s="1">
        <v>4</v>
      </c>
      <c r="BG159" s="1">
        <v>44</v>
      </c>
      <c r="BH159" s="1">
        <v>22</v>
      </c>
      <c r="BI159" s="1">
        <v>0</v>
      </c>
      <c r="BJ159" s="1">
        <v>0</v>
      </c>
      <c r="BK159" s="1">
        <v>44</v>
      </c>
      <c r="BL159" s="1">
        <v>22</v>
      </c>
      <c r="BM159" s="1">
        <v>2</v>
      </c>
      <c r="BN159" s="1" t="s">
        <v>62</v>
      </c>
      <c r="BO159" s="1">
        <v>1</v>
      </c>
      <c r="BP159" s="1">
        <v>1</v>
      </c>
      <c r="BQ159" s="1">
        <v>1</v>
      </c>
      <c r="BR159" s="3">
        <v>44263</v>
      </c>
      <c r="BS159" s="1" t="s">
        <v>61</v>
      </c>
      <c r="BT159" s="12" t="s">
        <v>60</v>
      </c>
      <c r="BU159" s="1">
        <v>5</v>
      </c>
      <c r="BV159" s="1">
        <v>1</v>
      </c>
      <c r="CE159" s="1">
        <v>1</v>
      </c>
      <c r="CF159" s="3">
        <v>44329</v>
      </c>
      <c r="CG159" s="7">
        <f>CF159-AJ159</f>
        <v>37</v>
      </c>
      <c r="CH159" s="1" t="s">
        <v>836</v>
      </c>
      <c r="CI159" s="1" t="s">
        <v>183</v>
      </c>
      <c r="CJ159" s="1" t="s">
        <v>182</v>
      </c>
      <c r="CK159" s="1" t="s">
        <v>835</v>
      </c>
      <c r="CM159" s="1">
        <v>0</v>
      </c>
      <c r="CN159" s="12" t="str">
        <f>MID(CK159,4,1)</f>
        <v>2</v>
      </c>
      <c r="CO159" s="1" t="s">
        <v>752</v>
      </c>
      <c r="CP159" s="1">
        <v>1</v>
      </c>
      <c r="CQ159" s="1" t="s">
        <v>834</v>
      </c>
      <c r="CR159" s="1">
        <v>0.1</v>
      </c>
      <c r="CS159" s="1" t="s">
        <v>742</v>
      </c>
      <c r="CT159" s="1" t="s">
        <v>511</v>
      </c>
      <c r="CU159" s="1" t="s">
        <v>794</v>
      </c>
      <c r="CV159" s="1">
        <v>0</v>
      </c>
      <c r="CW159" s="1">
        <v>0.6</v>
      </c>
      <c r="CX159" s="1">
        <v>12.8</v>
      </c>
      <c r="CY159" s="1">
        <v>0.04</v>
      </c>
      <c r="CZ159" s="1">
        <v>1</v>
      </c>
      <c r="DA159" s="1">
        <v>35</v>
      </c>
      <c r="DB159" s="2">
        <f>CZ159/DA159*100</f>
        <v>2.8571428571428572</v>
      </c>
      <c r="DC159" s="1">
        <v>1</v>
      </c>
      <c r="DD159" s="1">
        <v>0</v>
      </c>
      <c r="DE159" s="1">
        <v>1</v>
      </c>
      <c r="DF159" s="1">
        <v>0</v>
      </c>
      <c r="DG159" s="26" t="s">
        <v>833</v>
      </c>
      <c r="DH159" s="7">
        <v>0</v>
      </c>
      <c r="DI159" s="7">
        <v>0</v>
      </c>
      <c r="DJ159" s="3">
        <v>44883</v>
      </c>
      <c r="DK159" s="1" t="s">
        <v>132</v>
      </c>
      <c r="DL159" s="1">
        <f>(DJ159-I159)/365.25*12</f>
        <v>20.369609856262834</v>
      </c>
      <c r="DM159" s="1">
        <v>1</v>
      </c>
      <c r="DN159" s="1" t="s">
        <v>832</v>
      </c>
      <c r="DO159" s="3">
        <v>44680</v>
      </c>
      <c r="DQ159" s="7">
        <v>1</v>
      </c>
      <c r="DR159" s="3">
        <v>44680</v>
      </c>
      <c r="DT159" s="7">
        <v>1</v>
      </c>
      <c r="DZ159" s="3">
        <v>44680</v>
      </c>
      <c r="EB159" s="7">
        <v>1</v>
      </c>
      <c r="ED159" s="7">
        <f>1-((1-DQ159)*(1-DT159))</f>
        <v>1</v>
      </c>
      <c r="EE159" s="11">
        <f>MIN(DR159,DZ159)</f>
        <v>44680</v>
      </c>
      <c r="EI159" s="1">
        <v>1</v>
      </c>
      <c r="EK159" s="3">
        <v>44680</v>
      </c>
      <c r="FC159" s="6" t="s">
        <v>50</v>
      </c>
      <c r="FD159" s="1">
        <v>0</v>
      </c>
      <c r="FF159" s="1" t="s">
        <v>45</v>
      </c>
      <c r="FI159" s="20">
        <f>IF(DM159=1, (DO159-I159)/365.25*12, IF(DM159=0, DL159, "ERROR"))</f>
        <v>13.700205338809035</v>
      </c>
      <c r="GA159" s="1">
        <v>15</v>
      </c>
      <c r="GB159" s="1">
        <v>0</v>
      </c>
      <c r="GC159" s="1">
        <v>55.996000000000002</v>
      </c>
      <c r="GD159" s="1">
        <v>25.9985</v>
      </c>
      <c r="GE159" s="25">
        <v>30</v>
      </c>
      <c r="GF159" s="25">
        <v>30</v>
      </c>
      <c r="GG159" s="1">
        <v>290.17959999999999</v>
      </c>
      <c r="GH159" s="24">
        <v>122.93810000000001</v>
      </c>
    </row>
    <row r="160" spans="1:190" ht="12.75" customHeight="1">
      <c r="A160" s="1" t="s">
        <v>831</v>
      </c>
      <c r="B160" s="1" t="s">
        <v>830</v>
      </c>
      <c r="C160" s="1">
        <v>54990434</v>
      </c>
      <c r="D160" s="1">
        <v>1</v>
      </c>
      <c r="E160" s="1">
        <v>0</v>
      </c>
      <c r="F160" s="1">
        <v>1</v>
      </c>
      <c r="G160" s="1">
        <v>1</v>
      </c>
      <c r="I160" s="3">
        <v>44309</v>
      </c>
      <c r="J160" s="3">
        <v>44280</v>
      </c>
      <c r="K160" s="3">
        <v>22581</v>
      </c>
      <c r="L160" s="5">
        <f>(DAYS360(K160,I160))/365</f>
        <v>58.673972602739724</v>
      </c>
      <c r="M160" s="1" t="s">
        <v>5</v>
      </c>
      <c r="N160" s="1">
        <v>1</v>
      </c>
      <c r="O160" s="1">
        <v>0</v>
      </c>
      <c r="P160" s="1" t="s">
        <v>45</v>
      </c>
      <c r="Q160" s="1" t="s">
        <v>45</v>
      </c>
      <c r="R160" s="1" t="s">
        <v>18</v>
      </c>
      <c r="S160" s="1" t="s">
        <v>829</v>
      </c>
      <c r="T160" s="1" t="s">
        <v>140</v>
      </c>
      <c r="U160" s="1">
        <v>1</v>
      </c>
      <c r="V160" s="1">
        <v>0</v>
      </c>
      <c r="W160" s="1">
        <v>0</v>
      </c>
      <c r="X160" s="1" t="s">
        <v>828</v>
      </c>
      <c r="Y160" s="1">
        <v>3</v>
      </c>
      <c r="Z160" s="1">
        <v>0</v>
      </c>
      <c r="AA160" s="1" t="s">
        <v>96</v>
      </c>
      <c r="AC160" s="1">
        <v>5</v>
      </c>
      <c r="AD160" s="1" t="s">
        <v>827</v>
      </c>
      <c r="AE160" s="1" t="s">
        <v>94</v>
      </c>
      <c r="AF160" s="1">
        <v>1</v>
      </c>
      <c r="AG160" s="1">
        <v>1</v>
      </c>
      <c r="AH160" s="1">
        <v>0</v>
      </c>
      <c r="AI160" s="3">
        <v>44309</v>
      </c>
      <c r="AJ160" s="3">
        <v>44342</v>
      </c>
      <c r="BA160" s="1">
        <v>5</v>
      </c>
      <c r="BG160" s="1">
        <v>44</v>
      </c>
      <c r="BH160" s="1">
        <v>22</v>
      </c>
      <c r="BI160" s="1">
        <v>0</v>
      </c>
      <c r="BJ160" s="1">
        <v>0</v>
      </c>
      <c r="BK160" s="1">
        <v>44</v>
      </c>
      <c r="BL160" s="1">
        <v>22</v>
      </c>
      <c r="BM160" s="1">
        <v>2</v>
      </c>
      <c r="BN160" s="1" t="s">
        <v>62</v>
      </c>
      <c r="BO160" s="1">
        <v>1</v>
      </c>
      <c r="BP160" s="1">
        <v>1</v>
      </c>
      <c r="BQ160" s="1">
        <v>1</v>
      </c>
      <c r="BR160" s="3">
        <v>44309</v>
      </c>
      <c r="BS160" s="1" t="s">
        <v>61</v>
      </c>
      <c r="BT160" s="12" t="s">
        <v>60</v>
      </c>
      <c r="BU160" s="1">
        <v>5</v>
      </c>
      <c r="BV160" s="1">
        <v>1</v>
      </c>
      <c r="CE160" s="1">
        <v>1</v>
      </c>
      <c r="CF160" s="3">
        <v>44383</v>
      </c>
      <c r="CG160" s="7">
        <f>CF160-AJ160</f>
        <v>41</v>
      </c>
      <c r="CH160" s="1" t="s">
        <v>826</v>
      </c>
      <c r="CI160" s="1" t="s">
        <v>183</v>
      </c>
      <c r="CJ160" s="1" t="s">
        <v>182</v>
      </c>
      <c r="CK160" s="1" t="s">
        <v>825</v>
      </c>
      <c r="CL160" s="1" t="s">
        <v>96</v>
      </c>
      <c r="CM160" s="1">
        <v>0</v>
      </c>
      <c r="CN160" s="12" t="str">
        <f>MID(CK160,4,1)</f>
        <v>3</v>
      </c>
      <c r="CO160" s="1" t="s">
        <v>744</v>
      </c>
      <c r="CP160" s="1">
        <v>2</v>
      </c>
      <c r="CQ160" s="1" t="s">
        <v>824</v>
      </c>
      <c r="CR160" s="1">
        <v>3</v>
      </c>
      <c r="CS160" s="1" t="s">
        <v>742</v>
      </c>
      <c r="CT160" s="1" t="s">
        <v>511</v>
      </c>
      <c r="CU160" s="1" t="s">
        <v>823</v>
      </c>
      <c r="CV160" s="1">
        <v>0</v>
      </c>
      <c r="CW160" s="1">
        <v>3.3</v>
      </c>
      <c r="CX160" s="1">
        <v>17.100000000000001</v>
      </c>
      <c r="CY160" s="1">
        <v>0.16</v>
      </c>
      <c r="CZ160" s="1">
        <v>3</v>
      </c>
      <c r="DA160" s="1">
        <v>65</v>
      </c>
      <c r="DB160" s="2">
        <f>CZ160/DA160*100</f>
        <v>4.6153846153846159</v>
      </c>
      <c r="DC160" s="1">
        <v>0</v>
      </c>
      <c r="DD160" s="1">
        <v>0</v>
      </c>
      <c r="DE160" s="1">
        <v>1</v>
      </c>
      <c r="DF160" s="1">
        <v>0</v>
      </c>
      <c r="DG160" s="26" t="s">
        <v>822</v>
      </c>
      <c r="DH160" s="7">
        <v>0</v>
      </c>
      <c r="DI160" s="7">
        <v>0</v>
      </c>
      <c r="DJ160" s="3">
        <v>44663</v>
      </c>
      <c r="DK160" s="1" t="s">
        <v>108</v>
      </c>
      <c r="DL160" s="1">
        <f>(DJ160-I160)/365.25*12</f>
        <v>11.630390143737166</v>
      </c>
      <c r="DM160" s="1">
        <v>1</v>
      </c>
      <c r="DO160" s="3">
        <v>44552</v>
      </c>
      <c r="DQ160" s="7">
        <v>0</v>
      </c>
      <c r="DT160" s="7">
        <v>0</v>
      </c>
      <c r="EB160" s="7">
        <v>0</v>
      </c>
      <c r="EC160" s="7">
        <v>0</v>
      </c>
      <c r="ED160" s="7">
        <f>1-((1-DQ160)*(1-DT160))</f>
        <v>0</v>
      </c>
      <c r="EI160" s="1">
        <v>1</v>
      </c>
      <c r="EK160" s="3">
        <v>44552</v>
      </c>
      <c r="FC160" s="6" t="s">
        <v>50</v>
      </c>
      <c r="FD160" s="1">
        <v>0</v>
      </c>
      <c r="FF160" s="1" t="s">
        <v>45</v>
      </c>
      <c r="FI160" s="20">
        <f>IF(DM160=1, (DO160-I160)/365.25*12, IF(DM160=0, DL160, "ERROR"))</f>
        <v>7.9835728952772076</v>
      </c>
      <c r="GA160" s="1">
        <v>10</v>
      </c>
      <c r="GB160" s="1">
        <v>2</v>
      </c>
      <c r="GC160" s="1">
        <v>362.42899999999997</v>
      </c>
      <c r="GD160" s="1">
        <v>73.303600000000003</v>
      </c>
      <c r="GE160" s="25">
        <v>30</v>
      </c>
      <c r="GF160" s="25">
        <v>20</v>
      </c>
      <c r="GG160" s="1">
        <v>573.83159999999998</v>
      </c>
      <c r="GH160" s="24">
        <v>124.24290000000001</v>
      </c>
    </row>
    <row r="161" spans="1:190" ht="12.75" customHeight="1">
      <c r="A161" s="1" t="s">
        <v>821</v>
      </c>
      <c r="B161" s="1" t="s">
        <v>820</v>
      </c>
      <c r="C161" s="1">
        <v>55071932</v>
      </c>
      <c r="D161" s="1">
        <v>1</v>
      </c>
      <c r="E161" s="1">
        <v>0</v>
      </c>
      <c r="F161" s="1">
        <v>1</v>
      </c>
      <c r="G161" s="1">
        <v>1</v>
      </c>
      <c r="I161" s="3">
        <v>44316</v>
      </c>
      <c r="J161" s="3">
        <v>44294</v>
      </c>
      <c r="K161" s="3">
        <v>23691</v>
      </c>
      <c r="L161" s="5">
        <f>(DAYS360(K161,I161))/365</f>
        <v>55.698630136986303</v>
      </c>
      <c r="M161" s="1" t="s">
        <v>1</v>
      </c>
      <c r="N161" s="1">
        <v>1</v>
      </c>
      <c r="O161" s="1">
        <v>0</v>
      </c>
      <c r="P161" s="1" t="s">
        <v>69</v>
      </c>
      <c r="Q161" s="1">
        <v>1</v>
      </c>
      <c r="R161" s="1" t="s">
        <v>18</v>
      </c>
      <c r="S161" s="1">
        <v>30</v>
      </c>
      <c r="T161" s="1" t="s">
        <v>80</v>
      </c>
      <c r="U161" s="1">
        <v>0</v>
      </c>
      <c r="V161" s="1">
        <v>1</v>
      </c>
      <c r="W161" s="1">
        <v>0</v>
      </c>
      <c r="X161" s="1" t="s">
        <v>296</v>
      </c>
      <c r="Y161" s="1">
        <v>2</v>
      </c>
      <c r="Z161" s="1">
        <v>1</v>
      </c>
      <c r="AA161" s="1" t="s">
        <v>65</v>
      </c>
      <c r="AC161" s="1">
        <v>2</v>
      </c>
      <c r="AD161" s="1" t="s">
        <v>819</v>
      </c>
      <c r="AE161" s="1" t="s">
        <v>114</v>
      </c>
      <c r="AF161" s="1">
        <v>0</v>
      </c>
      <c r="AG161" s="1">
        <v>0</v>
      </c>
      <c r="AH161" s="1">
        <v>0</v>
      </c>
      <c r="AI161" s="3">
        <v>44316</v>
      </c>
      <c r="AJ161" s="3">
        <v>44349</v>
      </c>
      <c r="BA161" s="1">
        <f>1.5+5.5+0.5</f>
        <v>7.5</v>
      </c>
      <c r="BG161" s="1">
        <v>44</v>
      </c>
      <c r="BH161" s="1">
        <v>22</v>
      </c>
      <c r="BI161" s="1">
        <v>0</v>
      </c>
      <c r="BJ161" s="1">
        <v>0</v>
      </c>
      <c r="BK161" s="1">
        <v>44</v>
      </c>
      <c r="BL161" s="1">
        <v>22</v>
      </c>
      <c r="BM161" s="1">
        <v>2</v>
      </c>
      <c r="BN161" s="1" t="s">
        <v>62</v>
      </c>
      <c r="BO161" s="1">
        <v>1</v>
      </c>
      <c r="BP161" s="1">
        <v>1</v>
      </c>
      <c r="BQ161" s="1">
        <v>1</v>
      </c>
      <c r="BR161" s="3">
        <v>44316</v>
      </c>
      <c r="BS161" s="1" t="s">
        <v>61</v>
      </c>
      <c r="BT161" s="12" t="s">
        <v>60</v>
      </c>
      <c r="BU161" s="1">
        <v>5</v>
      </c>
      <c r="BV161" s="1">
        <v>1</v>
      </c>
      <c r="CE161" s="1">
        <v>1</v>
      </c>
      <c r="CF161" s="3">
        <v>44390</v>
      </c>
      <c r="CG161" s="7">
        <f>CF161-AJ161</f>
        <v>41</v>
      </c>
      <c r="CH161" s="1" t="s">
        <v>818</v>
      </c>
      <c r="CI161" s="17" t="s">
        <v>460</v>
      </c>
      <c r="CJ161" s="1" t="s">
        <v>182</v>
      </c>
      <c r="CK161" s="1" t="s">
        <v>771</v>
      </c>
      <c r="CL161" s="1" t="s">
        <v>45</v>
      </c>
      <c r="CM161" s="1">
        <v>0</v>
      </c>
      <c r="CN161" s="12" t="str">
        <f>MID(CK161,4,1)</f>
        <v>0</v>
      </c>
      <c r="CO161" s="1" t="s">
        <v>817</v>
      </c>
      <c r="CP161" s="1">
        <v>0</v>
      </c>
      <c r="CQ161" s="1" t="s">
        <v>45</v>
      </c>
      <c r="CR161" s="1">
        <v>0</v>
      </c>
      <c r="CS161" s="1" t="s">
        <v>45</v>
      </c>
      <c r="CT161" s="1" t="s">
        <v>45</v>
      </c>
      <c r="CU161" s="1" t="s">
        <v>45</v>
      </c>
      <c r="CV161" s="1">
        <v>0</v>
      </c>
      <c r="CW161" s="1" t="s">
        <v>45</v>
      </c>
      <c r="CX161" s="1" t="s">
        <v>45</v>
      </c>
      <c r="CY161" s="1" t="s">
        <v>45</v>
      </c>
      <c r="CZ161" s="1">
        <v>1</v>
      </c>
      <c r="DA161" s="1">
        <v>83</v>
      </c>
      <c r="DB161" s="2">
        <f>CZ161/DA161*100</f>
        <v>1.2048192771084338</v>
      </c>
      <c r="DC161" s="1">
        <v>0</v>
      </c>
      <c r="DD161" s="1">
        <v>0</v>
      </c>
      <c r="DE161" s="1">
        <v>0</v>
      </c>
      <c r="DF161" s="1">
        <v>0</v>
      </c>
      <c r="DG161" s="26" t="s">
        <v>816</v>
      </c>
      <c r="DH161" s="7">
        <v>0</v>
      </c>
      <c r="DI161" s="7">
        <v>0</v>
      </c>
      <c r="DJ161" s="3">
        <v>44883</v>
      </c>
      <c r="DK161" s="1" t="s">
        <v>75</v>
      </c>
      <c r="DL161" s="1">
        <f>(DJ161-I161)/365.25*12</f>
        <v>18.628336755646817</v>
      </c>
      <c r="DM161" s="1">
        <v>0</v>
      </c>
      <c r="DQ161" s="7">
        <v>0</v>
      </c>
      <c r="DT161" s="7">
        <v>0</v>
      </c>
      <c r="DU161" s="7">
        <v>0</v>
      </c>
      <c r="DV161" s="7">
        <v>0</v>
      </c>
      <c r="DW161" s="7">
        <f>DU161*(1-DV161)</f>
        <v>0</v>
      </c>
      <c r="DX161" s="7">
        <f>(1-DU161)*DV161</f>
        <v>0</v>
      </c>
      <c r="DY161" s="7">
        <f>DU161*DV161</f>
        <v>0</v>
      </c>
      <c r="EB161" s="7">
        <v>0</v>
      </c>
      <c r="EC161" s="7">
        <v>0</v>
      </c>
      <c r="ED161" s="7">
        <f>1-((1-DQ161)*(1-DT161))</f>
        <v>0</v>
      </c>
      <c r="EI161" s="1">
        <v>0</v>
      </c>
      <c r="EJ161" s="7">
        <f>(1-DQ161)*DX161*(1-EI161)</f>
        <v>0</v>
      </c>
      <c r="FC161" s="6" t="s">
        <v>50</v>
      </c>
      <c r="FD161" s="1">
        <v>0</v>
      </c>
      <c r="FF161" s="1" t="s">
        <v>45</v>
      </c>
      <c r="FI161" s="20">
        <f>IF(DM161=1, (DO161-I161)/365.25*12, IF(DM161=0, DL161, "ERROR"))</f>
        <v>18.628336755646817</v>
      </c>
      <c r="GA161" s="1">
        <v>10</v>
      </c>
      <c r="GB161" s="1">
        <v>10</v>
      </c>
      <c r="GC161" s="1">
        <v>1801.6313</v>
      </c>
      <c r="GD161" s="1">
        <v>231.17789999999999</v>
      </c>
      <c r="GE161" s="25">
        <v>70</v>
      </c>
      <c r="GF161" s="25">
        <v>70</v>
      </c>
      <c r="GG161" s="1">
        <v>2232.2555000000002</v>
      </c>
      <c r="GH161" s="24">
        <v>2058.8027999999999</v>
      </c>
    </row>
    <row r="162" spans="1:190" ht="12.75" customHeight="1">
      <c r="A162" s="1" t="s">
        <v>808</v>
      </c>
      <c r="B162" s="1" t="s">
        <v>807</v>
      </c>
      <c r="C162" s="1">
        <v>55142764</v>
      </c>
      <c r="D162" s="1">
        <v>1</v>
      </c>
      <c r="E162" s="1">
        <v>0</v>
      </c>
      <c r="F162" s="1">
        <v>1</v>
      </c>
      <c r="G162" s="1">
        <v>1</v>
      </c>
      <c r="I162" s="3">
        <v>44358</v>
      </c>
      <c r="J162" s="3">
        <v>44328</v>
      </c>
      <c r="K162" s="3">
        <v>24541</v>
      </c>
      <c r="L162" s="5">
        <f>(DAYS360(K162,I162))/365</f>
        <v>53.509589041095893</v>
      </c>
      <c r="M162" s="1" t="s">
        <v>5</v>
      </c>
      <c r="N162" s="1">
        <v>1</v>
      </c>
      <c r="O162" s="1">
        <v>0</v>
      </c>
      <c r="P162" s="1" t="s">
        <v>69</v>
      </c>
      <c r="Q162" s="1">
        <v>1</v>
      </c>
      <c r="R162" s="1" t="s">
        <v>18</v>
      </c>
      <c r="S162" s="1" t="s">
        <v>806</v>
      </c>
      <c r="T162" s="1" t="s">
        <v>80</v>
      </c>
      <c r="U162" s="1">
        <v>0</v>
      </c>
      <c r="V162" s="1">
        <v>1</v>
      </c>
      <c r="W162" s="1">
        <v>0</v>
      </c>
      <c r="X162" s="1" t="s">
        <v>637</v>
      </c>
      <c r="Y162" s="1">
        <v>3</v>
      </c>
      <c r="Z162" s="1">
        <v>0</v>
      </c>
      <c r="AA162" s="1" t="s">
        <v>65</v>
      </c>
      <c r="AC162" s="1">
        <v>2</v>
      </c>
      <c r="AD162" s="1" t="s">
        <v>64</v>
      </c>
      <c r="AE162" s="1" t="s">
        <v>64</v>
      </c>
      <c r="AF162" s="1">
        <v>0</v>
      </c>
      <c r="AG162" s="1">
        <v>0</v>
      </c>
      <c r="AH162" s="1">
        <v>0</v>
      </c>
      <c r="AI162" s="3">
        <v>44358</v>
      </c>
      <c r="AJ162" s="3">
        <v>44390</v>
      </c>
      <c r="BA162" s="1">
        <v>4.5</v>
      </c>
      <c r="BG162" s="1">
        <v>44</v>
      </c>
      <c r="BH162" s="1">
        <v>22</v>
      </c>
      <c r="BI162" s="1">
        <v>0</v>
      </c>
      <c r="BJ162" s="1">
        <v>0</v>
      </c>
      <c r="BK162" s="1">
        <v>44</v>
      </c>
      <c r="BL162" s="1">
        <v>22</v>
      </c>
      <c r="BM162" s="1">
        <v>2</v>
      </c>
      <c r="BN162" s="1" t="s">
        <v>62</v>
      </c>
      <c r="BO162" s="1">
        <v>1</v>
      </c>
      <c r="BP162" s="1">
        <v>1</v>
      </c>
      <c r="BQ162" s="1">
        <v>1</v>
      </c>
      <c r="BR162" s="3">
        <v>44358</v>
      </c>
      <c r="BS162" s="1" t="s">
        <v>61</v>
      </c>
      <c r="BT162" s="12" t="s">
        <v>60</v>
      </c>
      <c r="BU162" s="1">
        <v>5</v>
      </c>
      <c r="BV162" s="1">
        <v>1</v>
      </c>
      <c r="CE162" s="1">
        <v>1</v>
      </c>
      <c r="CF162" s="3">
        <v>44427</v>
      </c>
      <c r="CG162" s="7">
        <f>CF162-AJ162</f>
        <v>37</v>
      </c>
      <c r="CH162" s="1" t="s">
        <v>805</v>
      </c>
      <c r="CI162" s="17" t="s">
        <v>460</v>
      </c>
      <c r="CJ162" s="1" t="s">
        <v>182</v>
      </c>
      <c r="CK162" s="1" t="s">
        <v>605</v>
      </c>
      <c r="CM162" s="1">
        <v>0</v>
      </c>
      <c r="CN162" s="12" t="str">
        <f>MID(CK162,4,1)</f>
        <v>2</v>
      </c>
      <c r="CO162" s="1" t="s">
        <v>752</v>
      </c>
      <c r="CP162" s="1">
        <v>1</v>
      </c>
      <c r="CQ162" s="1" t="s">
        <v>804</v>
      </c>
      <c r="CR162" s="1">
        <v>1.8</v>
      </c>
      <c r="CS162" s="1" t="s">
        <v>742</v>
      </c>
      <c r="CT162" s="1" t="s">
        <v>473</v>
      </c>
      <c r="CU162" s="1" t="s">
        <v>472</v>
      </c>
      <c r="CV162" s="1">
        <v>0</v>
      </c>
      <c r="CW162" s="1">
        <v>1.2</v>
      </c>
      <c r="CX162" s="1">
        <v>8.1</v>
      </c>
      <c r="CY162" s="1">
        <v>0.1</v>
      </c>
      <c r="CZ162" s="1">
        <v>2</v>
      </c>
      <c r="DA162" s="1">
        <v>73</v>
      </c>
      <c r="DB162" s="2">
        <f>CZ162/DA162*100</f>
        <v>2.7397260273972601</v>
      </c>
      <c r="DC162" s="1">
        <v>0</v>
      </c>
      <c r="DD162" s="1">
        <v>0</v>
      </c>
      <c r="DE162" s="1">
        <v>0</v>
      </c>
      <c r="DF162" s="1">
        <v>0</v>
      </c>
      <c r="DG162" s="26" t="s">
        <v>803</v>
      </c>
      <c r="DH162" s="7">
        <v>0</v>
      </c>
      <c r="DI162" s="7">
        <v>0</v>
      </c>
      <c r="DJ162" s="3">
        <v>44872</v>
      </c>
      <c r="DK162" s="1" t="s">
        <v>802</v>
      </c>
      <c r="DL162" s="1">
        <f>(DJ162-I162)/365.25*12</f>
        <v>16.887063655030801</v>
      </c>
      <c r="DM162" s="1">
        <v>1</v>
      </c>
      <c r="DN162" s="1" t="s">
        <v>801</v>
      </c>
      <c r="DO162" s="3">
        <v>44817</v>
      </c>
      <c r="DQ162" s="7">
        <v>1</v>
      </c>
      <c r="DR162" s="3">
        <v>44817</v>
      </c>
      <c r="DT162" s="7">
        <v>0</v>
      </c>
      <c r="DU162" s="7">
        <v>0</v>
      </c>
      <c r="DV162" s="7">
        <v>0</v>
      </c>
      <c r="DW162" s="7">
        <f>DU162*(1-DV162)</f>
        <v>0</v>
      </c>
      <c r="DX162" s="7">
        <f>(1-DU162)*DV162</f>
        <v>0</v>
      </c>
      <c r="DY162" s="7">
        <f>DU162*DV162</f>
        <v>0</v>
      </c>
      <c r="EB162" s="7">
        <v>0</v>
      </c>
      <c r="EC162" s="7">
        <v>0</v>
      </c>
      <c r="ED162" s="7">
        <f>1-((1-DQ162)*(1-DT162))</f>
        <v>1</v>
      </c>
      <c r="EI162" s="1">
        <v>1</v>
      </c>
      <c r="EJ162" s="7">
        <f>(1-DQ162)*DX162*(1-EI162)</f>
        <v>0</v>
      </c>
      <c r="EK162" s="3">
        <v>44817</v>
      </c>
      <c r="FC162" s="6" t="s">
        <v>50</v>
      </c>
      <c r="FD162" s="1">
        <v>0</v>
      </c>
      <c r="FF162" s="1" t="s">
        <v>45</v>
      </c>
      <c r="FI162" s="20">
        <f>IF(DM162=1, (DO162-I162)/365.25*12, IF(DM162=0, DL162, "ERROR"))</f>
        <v>15.080082135523615</v>
      </c>
      <c r="GA162" s="1">
        <v>0.5</v>
      </c>
      <c r="GB162" s="1">
        <v>0.5</v>
      </c>
      <c r="GC162" s="1">
        <v>160.83519999999999</v>
      </c>
      <c r="GD162" s="1">
        <v>113.5587</v>
      </c>
      <c r="GE162" s="25">
        <v>50</v>
      </c>
      <c r="GF162" s="25">
        <v>25</v>
      </c>
      <c r="GG162" s="1">
        <v>665.09230000000002</v>
      </c>
      <c r="GH162" s="24">
        <v>453.4726</v>
      </c>
    </row>
    <row r="163" spans="1:190" ht="12.75" customHeight="1">
      <c r="A163" s="1" t="s">
        <v>815</v>
      </c>
      <c r="B163" s="1" t="s">
        <v>814</v>
      </c>
      <c r="C163" s="1">
        <v>55202394</v>
      </c>
      <c r="D163" s="1">
        <v>1</v>
      </c>
      <c r="E163" s="1">
        <v>0</v>
      </c>
      <c r="F163" s="1">
        <v>1</v>
      </c>
      <c r="G163" s="1">
        <v>1</v>
      </c>
      <c r="I163" s="3">
        <v>44343</v>
      </c>
      <c r="J163" s="3">
        <v>44328</v>
      </c>
      <c r="K163" s="3">
        <v>31130</v>
      </c>
      <c r="L163" s="5">
        <f>(DAYS360(K163,I163))/365</f>
        <v>35.679452054794524</v>
      </c>
      <c r="M163" s="1" t="s">
        <v>5</v>
      </c>
      <c r="N163" s="1">
        <v>1</v>
      </c>
      <c r="O163" s="1">
        <v>0</v>
      </c>
      <c r="P163" s="1" t="s">
        <v>45</v>
      </c>
      <c r="Q163" s="1" t="s">
        <v>45</v>
      </c>
      <c r="R163" s="1" t="s">
        <v>18</v>
      </c>
      <c r="S163" s="1">
        <v>19</v>
      </c>
      <c r="T163" s="1" t="s">
        <v>140</v>
      </c>
      <c r="U163" s="1">
        <v>1</v>
      </c>
      <c r="V163" s="1">
        <v>0</v>
      </c>
      <c r="W163" s="1">
        <v>0</v>
      </c>
      <c r="X163" s="1" t="s">
        <v>243</v>
      </c>
      <c r="Y163" s="1">
        <v>3</v>
      </c>
      <c r="Z163" s="1">
        <v>1</v>
      </c>
      <c r="AA163" s="1" t="s">
        <v>96</v>
      </c>
      <c r="AC163" s="1">
        <v>5</v>
      </c>
      <c r="AD163" s="1" t="s">
        <v>813</v>
      </c>
      <c r="AE163" s="1" t="s">
        <v>94</v>
      </c>
      <c r="AF163" s="1">
        <v>1</v>
      </c>
      <c r="AG163" s="1">
        <v>1</v>
      </c>
      <c r="AH163" s="1">
        <v>1</v>
      </c>
      <c r="AI163" s="3">
        <v>44343</v>
      </c>
      <c r="AJ163" s="3">
        <v>44375</v>
      </c>
      <c r="BA163" s="1">
        <v>3.5</v>
      </c>
      <c r="BG163" s="1">
        <v>41.4</v>
      </c>
      <c r="BH163" s="1">
        <v>23</v>
      </c>
      <c r="BI163" s="1">
        <v>0</v>
      </c>
      <c r="BJ163" s="1">
        <v>0</v>
      </c>
      <c r="BK163" s="1">
        <v>41.4</v>
      </c>
      <c r="BL163" s="1">
        <v>23</v>
      </c>
      <c r="BM163" s="1">
        <v>1.8</v>
      </c>
      <c r="BN163" s="1" t="s">
        <v>62</v>
      </c>
      <c r="BO163" s="1">
        <v>1</v>
      </c>
      <c r="BP163" s="1">
        <v>1</v>
      </c>
      <c r="BQ163" s="1">
        <v>1</v>
      </c>
      <c r="BR163" s="3">
        <v>44343</v>
      </c>
      <c r="BS163" s="1" t="s">
        <v>61</v>
      </c>
      <c r="BT163" s="12" t="s">
        <v>60</v>
      </c>
      <c r="BU163" s="1">
        <v>5</v>
      </c>
      <c r="BV163" s="1">
        <v>1</v>
      </c>
      <c r="CE163" s="1">
        <v>1</v>
      </c>
      <c r="CF163" s="3">
        <v>44418</v>
      </c>
      <c r="CG163" s="7">
        <f>CF163-AJ163</f>
        <v>43</v>
      </c>
      <c r="CH163" s="1" t="s">
        <v>812</v>
      </c>
      <c r="CI163" s="1" t="s">
        <v>183</v>
      </c>
      <c r="CJ163" s="1" t="s">
        <v>182</v>
      </c>
      <c r="CK163" s="1" t="s">
        <v>811</v>
      </c>
      <c r="CL163" s="1" t="s">
        <v>45</v>
      </c>
      <c r="CM163" s="1">
        <v>1</v>
      </c>
      <c r="CN163" s="12" t="str">
        <f>MID(CK163,4,1)</f>
        <v>0</v>
      </c>
      <c r="CO163" s="1" t="s">
        <v>810</v>
      </c>
      <c r="CP163" s="1">
        <v>0</v>
      </c>
      <c r="CQ163" s="1" t="s">
        <v>45</v>
      </c>
      <c r="CR163" s="1">
        <v>0</v>
      </c>
      <c r="CS163" s="1" t="s">
        <v>45</v>
      </c>
      <c r="CT163" s="1" t="s">
        <v>45</v>
      </c>
      <c r="CU163" s="1" t="s">
        <v>45</v>
      </c>
      <c r="CV163" s="1">
        <v>0</v>
      </c>
      <c r="CW163" s="1" t="s">
        <v>45</v>
      </c>
      <c r="CX163" s="1" t="s">
        <v>45</v>
      </c>
      <c r="CY163" s="1" t="s">
        <v>45</v>
      </c>
      <c r="CZ163" s="1">
        <v>0</v>
      </c>
      <c r="DA163" s="1">
        <v>79</v>
      </c>
      <c r="DB163" s="2">
        <f>CZ163/DA163*100</f>
        <v>0</v>
      </c>
      <c r="DC163" s="1">
        <v>0</v>
      </c>
      <c r="DD163" s="1">
        <v>0</v>
      </c>
      <c r="DE163" s="1">
        <v>0</v>
      </c>
      <c r="DF163" s="1">
        <v>0</v>
      </c>
      <c r="DG163" s="26" t="s">
        <v>809</v>
      </c>
      <c r="DH163" s="7">
        <v>0</v>
      </c>
      <c r="DI163" s="7">
        <v>0</v>
      </c>
      <c r="DJ163" s="3">
        <v>44902</v>
      </c>
      <c r="DK163" s="1" t="s">
        <v>75</v>
      </c>
      <c r="DL163" s="1">
        <f>(DJ163-I163)/365.25*12</f>
        <v>18.365503080082135</v>
      </c>
      <c r="DM163" s="1">
        <v>0</v>
      </c>
      <c r="DQ163" s="7">
        <v>0</v>
      </c>
      <c r="DT163" s="7">
        <v>0</v>
      </c>
      <c r="DU163" s="7">
        <v>0</v>
      </c>
      <c r="DV163" s="7">
        <v>0</v>
      </c>
      <c r="DW163" s="7">
        <f>DU163*(1-DV163)</f>
        <v>0</v>
      </c>
      <c r="DX163" s="7">
        <f>(1-DU163)*DV163</f>
        <v>0</v>
      </c>
      <c r="DY163" s="7">
        <f>DU163*DV163</f>
        <v>0</v>
      </c>
      <c r="EB163" s="7">
        <v>0</v>
      </c>
      <c r="EC163" s="7">
        <v>0</v>
      </c>
      <c r="ED163" s="7">
        <f>1-((1-DQ163)*(1-DT163))</f>
        <v>0</v>
      </c>
      <c r="EI163" s="1">
        <v>0</v>
      </c>
      <c r="EJ163" s="7">
        <f>(1-DQ163)*DX163*(1-EI163)</f>
        <v>0</v>
      </c>
      <c r="FC163" s="6" t="s">
        <v>50</v>
      </c>
      <c r="FD163" s="1">
        <v>0</v>
      </c>
      <c r="FF163" s="1" t="s">
        <v>45</v>
      </c>
      <c r="FI163" s="20">
        <f>IF(DM163=1, (DO163-I163)/365.25*12, IF(DM163=0, DL163, "ERROR"))</f>
        <v>18.365503080082135</v>
      </c>
      <c r="GA163" s="1">
        <v>40</v>
      </c>
      <c r="GB163" s="1">
        <v>0</v>
      </c>
      <c r="GC163" s="1">
        <v>275.07810000000001</v>
      </c>
      <c r="GD163" s="1">
        <v>112.2411</v>
      </c>
      <c r="GE163" s="25">
        <v>10</v>
      </c>
      <c r="GF163" s="25">
        <v>10</v>
      </c>
      <c r="GG163" s="1">
        <v>492.44279999999998</v>
      </c>
      <c r="GH163" s="24">
        <v>365.12959999999998</v>
      </c>
    </row>
    <row r="164" spans="1:190" ht="12.75" customHeight="1">
      <c r="A164" s="1" t="s">
        <v>784</v>
      </c>
      <c r="B164" s="1" t="s">
        <v>783</v>
      </c>
      <c r="C164" s="1">
        <v>55941790</v>
      </c>
      <c r="D164" s="1">
        <v>1</v>
      </c>
      <c r="E164" s="1">
        <v>0</v>
      </c>
      <c r="F164" s="1">
        <v>1</v>
      </c>
      <c r="G164" s="1">
        <v>1</v>
      </c>
      <c r="H164" s="1" t="s">
        <v>782</v>
      </c>
      <c r="I164" s="3">
        <v>44495</v>
      </c>
      <c r="J164" s="3">
        <v>44468</v>
      </c>
      <c r="K164" s="3">
        <v>22612</v>
      </c>
      <c r="L164" s="5">
        <f>(DAYS360(K164,I164))/365</f>
        <v>59.093150684931508</v>
      </c>
      <c r="M164" s="1" t="s">
        <v>1</v>
      </c>
      <c r="N164" s="1">
        <v>1</v>
      </c>
      <c r="O164" s="1">
        <v>0</v>
      </c>
      <c r="P164" s="1" t="s">
        <v>69</v>
      </c>
      <c r="Q164" s="1">
        <v>1</v>
      </c>
      <c r="R164" s="1" t="s">
        <v>18</v>
      </c>
      <c r="S164" s="1" t="s">
        <v>781</v>
      </c>
      <c r="T164" s="1" t="s">
        <v>80</v>
      </c>
      <c r="U164" s="1">
        <v>0</v>
      </c>
      <c r="V164" s="1">
        <v>1</v>
      </c>
      <c r="W164" s="1">
        <v>0</v>
      </c>
      <c r="X164" s="1" t="s">
        <v>395</v>
      </c>
      <c r="Y164" s="1">
        <v>3</v>
      </c>
      <c r="Z164" s="1">
        <v>1</v>
      </c>
      <c r="AA164" s="1" t="s">
        <v>116</v>
      </c>
      <c r="AC164" s="1">
        <v>3</v>
      </c>
      <c r="AD164" s="1" t="s">
        <v>780</v>
      </c>
      <c r="AE164" s="1" t="s">
        <v>114</v>
      </c>
      <c r="AF164" s="1">
        <v>0</v>
      </c>
      <c r="AG164" s="1">
        <v>0</v>
      </c>
      <c r="AH164" s="1">
        <v>0</v>
      </c>
      <c r="AI164" s="3">
        <v>44495</v>
      </c>
      <c r="AJ164" s="3">
        <v>44524</v>
      </c>
      <c r="BA164" s="1">
        <v>3.5</v>
      </c>
      <c r="BG164" s="1">
        <v>44</v>
      </c>
      <c r="BH164" s="1">
        <v>22</v>
      </c>
      <c r="BI164" s="1">
        <v>0</v>
      </c>
      <c r="BJ164" s="1">
        <v>0</v>
      </c>
      <c r="BK164" s="1">
        <v>44</v>
      </c>
      <c r="BL164" s="1">
        <v>22</v>
      </c>
      <c r="BM164" s="1">
        <v>2</v>
      </c>
      <c r="BN164" s="1" t="s">
        <v>62</v>
      </c>
      <c r="BO164" s="1">
        <v>1</v>
      </c>
      <c r="BP164" s="1">
        <v>1</v>
      </c>
      <c r="BQ164" s="1">
        <v>1</v>
      </c>
      <c r="BR164" s="3">
        <v>44495</v>
      </c>
      <c r="BS164" s="1" t="s">
        <v>61</v>
      </c>
      <c r="BT164" s="12" t="s">
        <v>60</v>
      </c>
      <c r="BU164" s="1">
        <v>5</v>
      </c>
      <c r="BV164" s="1">
        <v>1</v>
      </c>
      <c r="CE164" s="1">
        <v>1</v>
      </c>
      <c r="CF164" s="3">
        <v>44565</v>
      </c>
      <c r="CG164" s="7">
        <f>CF164-AJ164</f>
        <v>41</v>
      </c>
      <c r="CH164" s="1" t="s">
        <v>779</v>
      </c>
      <c r="CI164" s="1" t="s">
        <v>183</v>
      </c>
      <c r="CJ164" s="1" t="s">
        <v>182</v>
      </c>
      <c r="CK164" s="1" t="s">
        <v>702</v>
      </c>
      <c r="CM164" s="1">
        <v>0</v>
      </c>
      <c r="CN164" s="12" t="str">
        <f>MID(CK164,4,1)</f>
        <v>2</v>
      </c>
      <c r="CO164" s="1" t="s">
        <v>752</v>
      </c>
      <c r="CP164" s="1">
        <v>1</v>
      </c>
      <c r="CQ164" s="1" t="s">
        <v>778</v>
      </c>
      <c r="CR164" s="1">
        <v>0.2</v>
      </c>
      <c r="CS164" s="1" t="s">
        <v>750</v>
      </c>
      <c r="CT164" s="1" t="s">
        <v>511</v>
      </c>
      <c r="CU164" s="1" t="s">
        <v>454</v>
      </c>
      <c r="CV164" s="1">
        <v>0</v>
      </c>
      <c r="CW164" s="1">
        <v>5.0999999999999996</v>
      </c>
      <c r="CX164" s="1">
        <v>8.4</v>
      </c>
      <c r="CY164" s="1">
        <v>0.27</v>
      </c>
      <c r="CZ164" s="1">
        <v>0</v>
      </c>
      <c r="DA164" s="1">
        <v>66</v>
      </c>
      <c r="DB164" s="2">
        <f>CZ164/DA164*100</f>
        <v>0</v>
      </c>
      <c r="DC164" s="1">
        <v>0</v>
      </c>
      <c r="DD164" s="1">
        <v>0</v>
      </c>
      <c r="DE164" s="1">
        <v>0</v>
      </c>
      <c r="DF164" s="1">
        <v>0</v>
      </c>
      <c r="DG164" s="26" t="s">
        <v>777</v>
      </c>
      <c r="DH164" s="7">
        <v>0</v>
      </c>
      <c r="DI164" s="7">
        <v>0</v>
      </c>
      <c r="DJ164" s="3">
        <v>44846</v>
      </c>
      <c r="DK164" s="1" t="s">
        <v>75</v>
      </c>
      <c r="DL164" s="1">
        <f>(DJ164-I164)/365.25*12</f>
        <v>11.531827515400412</v>
      </c>
      <c r="DM164" s="1">
        <v>0</v>
      </c>
      <c r="DQ164" s="7">
        <v>0</v>
      </c>
      <c r="DT164" s="7">
        <v>0</v>
      </c>
      <c r="DU164" s="7">
        <v>0</v>
      </c>
      <c r="DV164" s="7">
        <v>0</v>
      </c>
      <c r="DW164" s="7">
        <f>DU164*(1-DV164)</f>
        <v>0</v>
      </c>
      <c r="DX164" s="7">
        <f>(1-DU164)*DV164</f>
        <v>0</v>
      </c>
      <c r="DY164" s="7">
        <f>DU164*DV164</f>
        <v>0</v>
      </c>
      <c r="EB164" s="7">
        <v>0</v>
      </c>
      <c r="EC164" s="7">
        <v>0</v>
      </c>
      <c r="ED164" s="7">
        <f>1-((1-DQ164)*(1-DT164))</f>
        <v>0</v>
      </c>
      <c r="EI164" s="1">
        <v>0</v>
      </c>
      <c r="EJ164" s="7">
        <f>(1-DQ164)*DX164*(1-EI164)</f>
        <v>0</v>
      </c>
      <c r="FC164" s="6" t="s">
        <v>50</v>
      </c>
      <c r="FD164" s="1">
        <v>0</v>
      </c>
      <c r="FF164" s="1" t="s">
        <v>45</v>
      </c>
      <c r="FI164" s="20">
        <f>IF(DM164=1, (DO164-I164)/365.25*12, IF(DM164=0, DL164, "ERROR"))</f>
        <v>11.531827515400412</v>
      </c>
      <c r="GA164" s="1">
        <v>10</v>
      </c>
      <c r="GB164" s="1">
        <v>5</v>
      </c>
      <c r="GC164" s="1">
        <v>1152.7963</v>
      </c>
      <c r="GD164" s="1">
        <v>471.6934</v>
      </c>
      <c r="GE164" s="25">
        <v>100</v>
      </c>
      <c r="GF164" s="25">
        <v>70</v>
      </c>
      <c r="GG164" s="1">
        <v>1477.2669000000001</v>
      </c>
      <c r="GH164" s="24">
        <v>868.10720000000003</v>
      </c>
    </row>
    <row r="165" spans="1:190" ht="12.75" customHeight="1">
      <c r="A165" s="1" t="s">
        <v>763</v>
      </c>
      <c r="B165" s="1" t="s">
        <v>762</v>
      </c>
      <c r="C165" s="1">
        <v>56124435</v>
      </c>
      <c r="D165" s="1">
        <v>1</v>
      </c>
      <c r="E165" s="1">
        <v>0</v>
      </c>
      <c r="F165" s="1">
        <v>1</v>
      </c>
      <c r="G165" s="1">
        <v>1</v>
      </c>
      <c r="I165" s="3">
        <v>44533</v>
      </c>
      <c r="J165" s="3">
        <v>44509</v>
      </c>
      <c r="K165" s="3">
        <v>23024</v>
      </c>
      <c r="L165" s="5">
        <f>(DAYS360(K165,I165))/365</f>
        <v>58.082191780821915</v>
      </c>
      <c r="M165" s="1" t="s">
        <v>1</v>
      </c>
      <c r="N165" s="1">
        <v>1</v>
      </c>
      <c r="O165" s="1">
        <v>0</v>
      </c>
      <c r="P165" s="1" t="s">
        <v>69</v>
      </c>
      <c r="Q165" s="1">
        <v>1</v>
      </c>
      <c r="R165" s="1" t="s">
        <v>18</v>
      </c>
      <c r="S165" s="1">
        <v>30</v>
      </c>
      <c r="T165" s="1" t="s">
        <v>150</v>
      </c>
      <c r="U165" s="1">
        <v>0</v>
      </c>
      <c r="V165" s="1">
        <v>1</v>
      </c>
      <c r="W165" s="1">
        <v>1</v>
      </c>
      <c r="X165" s="1" t="s">
        <v>637</v>
      </c>
      <c r="Y165" s="1">
        <v>3</v>
      </c>
      <c r="Z165" s="1">
        <v>0</v>
      </c>
      <c r="AA165" s="1" t="s">
        <v>65</v>
      </c>
      <c r="AC165" s="1">
        <v>2</v>
      </c>
      <c r="AD165" s="1" t="s">
        <v>64</v>
      </c>
      <c r="AE165" s="1" t="s">
        <v>64</v>
      </c>
      <c r="AF165" s="1">
        <v>0</v>
      </c>
      <c r="AG165" s="1">
        <v>0</v>
      </c>
      <c r="AH165" s="1">
        <v>0</v>
      </c>
      <c r="AI165" s="3">
        <v>44533</v>
      </c>
      <c r="AJ165" s="3">
        <v>44561</v>
      </c>
      <c r="BA165" s="1">
        <f>4.5+5.5+0.5</f>
        <v>10.5</v>
      </c>
      <c r="BG165" s="1">
        <v>40</v>
      </c>
      <c r="BH165" s="1">
        <v>20</v>
      </c>
      <c r="BI165" s="1">
        <v>0</v>
      </c>
      <c r="BJ165" s="1">
        <v>0</v>
      </c>
      <c r="BK165" s="1">
        <v>40</v>
      </c>
      <c r="BL165" s="1">
        <v>20</v>
      </c>
      <c r="BM165" s="1">
        <v>2</v>
      </c>
      <c r="BN165" s="1" t="s">
        <v>62</v>
      </c>
      <c r="BO165" s="1">
        <v>1</v>
      </c>
      <c r="BP165" s="1">
        <v>1</v>
      </c>
      <c r="BQ165" s="1">
        <v>1</v>
      </c>
      <c r="BR165" s="3">
        <v>44533</v>
      </c>
      <c r="BS165" s="1" t="s">
        <v>61</v>
      </c>
      <c r="BT165" s="12" t="s">
        <v>60</v>
      </c>
      <c r="BU165" s="1">
        <v>5</v>
      </c>
      <c r="BV165" s="1">
        <v>1</v>
      </c>
      <c r="CE165" s="1">
        <v>1</v>
      </c>
      <c r="CF165" s="3">
        <v>44602</v>
      </c>
      <c r="CG165" s="7">
        <f>CF165-AJ165</f>
        <v>41</v>
      </c>
      <c r="CH165" s="1" t="s">
        <v>761</v>
      </c>
      <c r="CI165" s="17" t="s">
        <v>460</v>
      </c>
      <c r="CJ165" s="1" t="s">
        <v>182</v>
      </c>
      <c r="CK165" s="1" t="s">
        <v>702</v>
      </c>
      <c r="CM165" s="1">
        <v>0</v>
      </c>
      <c r="CN165" s="12" t="str">
        <f>MID(CK165,4,1)</f>
        <v>2</v>
      </c>
      <c r="CO165" s="1" t="s">
        <v>752</v>
      </c>
      <c r="CP165" s="1">
        <v>1</v>
      </c>
      <c r="CQ165" s="1" t="s">
        <v>760</v>
      </c>
      <c r="CR165" s="1">
        <v>2</v>
      </c>
      <c r="CS165" s="1" t="s">
        <v>742</v>
      </c>
      <c r="CT165" s="1" t="s">
        <v>511</v>
      </c>
      <c r="CU165" s="1" t="s">
        <v>472</v>
      </c>
      <c r="CV165" s="1">
        <v>0</v>
      </c>
      <c r="CW165" s="1">
        <v>6.2</v>
      </c>
      <c r="CX165" s="1">
        <v>4.2</v>
      </c>
      <c r="CY165" s="1">
        <v>0.02</v>
      </c>
      <c r="CZ165" s="1">
        <v>0</v>
      </c>
      <c r="DA165" s="1">
        <v>40</v>
      </c>
      <c r="DB165" s="2">
        <f>CZ165/DA165*100</f>
        <v>0</v>
      </c>
      <c r="DC165" s="1">
        <v>0</v>
      </c>
      <c r="DD165" s="1">
        <v>0</v>
      </c>
      <c r="DE165" s="1">
        <v>0</v>
      </c>
      <c r="DF165" s="1">
        <v>0</v>
      </c>
      <c r="DG165" s="26" t="s">
        <v>759</v>
      </c>
      <c r="DH165" s="7">
        <v>0</v>
      </c>
      <c r="DI165" s="7">
        <v>0</v>
      </c>
      <c r="DJ165" s="3">
        <v>44827</v>
      </c>
      <c r="DK165" s="1" t="s">
        <v>75</v>
      </c>
      <c r="DL165" s="1">
        <f>(DJ165-I165)/365.25*12</f>
        <v>9.6591375770020544</v>
      </c>
      <c r="DM165" s="1">
        <v>0</v>
      </c>
      <c r="DQ165" s="7">
        <v>0</v>
      </c>
      <c r="DT165" s="7">
        <v>0</v>
      </c>
      <c r="DU165" s="7">
        <v>0</v>
      </c>
      <c r="DV165" s="7">
        <v>0</v>
      </c>
      <c r="DW165" s="7">
        <f>DU165*(1-DV165)</f>
        <v>0</v>
      </c>
      <c r="DX165" s="7">
        <f>(1-DU165)*DV165</f>
        <v>0</v>
      </c>
      <c r="DY165" s="7">
        <f>DU165*DV165</f>
        <v>0</v>
      </c>
      <c r="EB165" s="7">
        <v>0</v>
      </c>
      <c r="EC165" s="7">
        <v>0</v>
      </c>
      <c r="ED165" s="7">
        <f>1-((1-DQ165)*(1-DT165))</f>
        <v>0</v>
      </c>
      <c r="EI165" s="1">
        <v>0</v>
      </c>
      <c r="EJ165" s="7">
        <f>(1-DQ165)*DX165*(1-EI165)</f>
        <v>0</v>
      </c>
      <c r="FC165" s="6" t="s">
        <v>50</v>
      </c>
      <c r="FD165" s="1">
        <v>0</v>
      </c>
      <c r="FF165" s="1" t="s">
        <v>45</v>
      </c>
      <c r="FI165" s="20">
        <f>IF(DM165=1, (DO165-I165)/365.25*12, IF(DM165=0, DL165, "ERROR"))</f>
        <v>9.6591375770020544</v>
      </c>
      <c r="GA165" s="1">
        <v>0</v>
      </c>
      <c r="GB165" s="1">
        <v>0</v>
      </c>
      <c r="GC165" s="1">
        <v>145.05359999999999</v>
      </c>
      <c r="GD165" s="1">
        <v>31.3657</v>
      </c>
      <c r="GE165" s="25">
        <v>10</v>
      </c>
      <c r="GF165" s="25">
        <v>10</v>
      </c>
      <c r="GG165" s="1">
        <v>479.32380000000001</v>
      </c>
      <c r="GH165" s="24">
        <v>389.09019999999998</v>
      </c>
    </row>
    <row r="166" spans="1:190" ht="12.75" customHeight="1">
      <c r="A166" s="1" t="s">
        <v>769</v>
      </c>
      <c r="B166" s="1" t="s">
        <v>768</v>
      </c>
      <c r="C166" s="1">
        <v>56131318</v>
      </c>
      <c r="D166" s="1">
        <v>1</v>
      </c>
      <c r="E166" s="1">
        <v>0</v>
      </c>
      <c r="F166" s="1">
        <v>1</v>
      </c>
      <c r="G166" s="1">
        <v>1</v>
      </c>
      <c r="I166" s="3">
        <v>44523</v>
      </c>
      <c r="J166" s="3">
        <v>44510</v>
      </c>
      <c r="K166" s="3">
        <v>18768</v>
      </c>
      <c r="L166" s="5">
        <f>(DAYS360(K166,I166))/365</f>
        <v>69.542465753424651</v>
      </c>
      <c r="M166" s="1" t="s">
        <v>5</v>
      </c>
      <c r="N166" s="1">
        <v>1</v>
      </c>
      <c r="O166" s="1">
        <v>0</v>
      </c>
      <c r="P166" s="1" t="s">
        <v>81</v>
      </c>
      <c r="Q166" s="1">
        <v>3</v>
      </c>
      <c r="R166" s="1" t="s">
        <v>18</v>
      </c>
      <c r="S166" s="1" t="s">
        <v>625</v>
      </c>
      <c r="T166" s="1" t="s">
        <v>140</v>
      </c>
      <c r="U166" s="1">
        <v>1</v>
      </c>
      <c r="V166" s="1">
        <v>0</v>
      </c>
      <c r="W166" s="1">
        <v>0</v>
      </c>
      <c r="X166" s="1" t="s">
        <v>691</v>
      </c>
      <c r="Y166" s="1">
        <v>3</v>
      </c>
      <c r="Z166" s="1">
        <v>2</v>
      </c>
      <c r="AA166" s="1" t="s">
        <v>116</v>
      </c>
      <c r="AC166" s="1">
        <v>3</v>
      </c>
      <c r="AD166" s="1" t="s">
        <v>767</v>
      </c>
      <c r="AE166" s="1" t="s">
        <v>114</v>
      </c>
      <c r="AF166" s="1">
        <v>0</v>
      </c>
      <c r="AG166" s="1">
        <v>0</v>
      </c>
      <c r="AH166" s="1">
        <v>0</v>
      </c>
      <c r="AI166" s="3">
        <v>44523</v>
      </c>
      <c r="AJ166" s="3">
        <v>44552</v>
      </c>
      <c r="BA166" s="1">
        <v>10.5</v>
      </c>
      <c r="BG166" s="1">
        <v>44</v>
      </c>
      <c r="BH166" s="1">
        <v>22</v>
      </c>
      <c r="BI166" s="1">
        <v>0</v>
      </c>
      <c r="BJ166" s="1">
        <v>0</v>
      </c>
      <c r="BK166" s="1">
        <v>44</v>
      </c>
      <c r="BL166" s="1">
        <v>22</v>
      </c>
      <c r="BM166" s="1">
        <v>2</v>
      </c>
      <c r="BN166" s="1" t="s">
        <v>62</v>
      </c>
      <c r="BO166" s="1">
        <v>1</v>
      </c>
      <c r="BP166" s="1">
        <v>1</v>
      </c>
      <c r="BQ166" s="1">
        <v>1</v>
      </c>
      <c r="BR166" s="3">
        <v>44523</v>
      </c>
      <c r="BS166" s="1" t="s">
        <v>61</v>
      </c>
      <c r="BT166" s="12" t="s">
        <v>60</v>
      </c>
      <c r="BU166" s="1">
        <v>5</v>
      </c>
      <c r="BV166" s="1">
        <v>1</v>
      </c>
      <c r="CE166" s="1">
        <v>1</v>
      </c>
      <c r="CF166" s="3">
        <v>44586</v>
      </c>
      <c r="CG166" s="7">
        <f>CF166-AJ166</f>
        <v>34</v>
      </c>
      <c r="CH166" s="1" t="s">
        <v>766</v>
      </c>
      <c r="CI166" s="1" t="s">
        <v>183</v>
      </c>
      <c r="CJ166" s="1" t="s">
        <v>182</v>
      </c>
      <c r="CK166" s="1" t="s">
        <v>663</v>
      </c>
      <c r="CL166" s="1" t="s">
        <v>45</v>
      </c>
      <c r="CM166" s="1">
        <v>1</v>
      </c>
      <c r="CN166" s="12" t="str">
        <f>MID(CK166,4,1)</f>
        <v>0</v>
      </c>
      <c r="CO166" s="1" t="s">
        <v>765</v>
      </c>
      <c r="CP166" s="1">
        <v>0</v>
      </c>
      <c r="CQ166" s="1" t="s">
        <v>45</v>
      </c>
      <c r="CR166" s="1">
        <v>0</v>
      </c>
      <c r="CS166" s="1" t="s">
        <v>45</v>
      </c>
      <c r="CT166" s="1" t="s">
        <v>45</v>
      </c>
      <c r="CU166" s="1" t="s">
        <v>45</v>
      </c>
      <c r="CV166" s="1">
        <v>0</v>
      </c>
      <c r="CW166" s="1" t="s">
        <v>45</v>
      </c>
      <c r="CX166" s="1" t="s">
        <v>45</v>
      </c>
      <c r="CY166" s="1" t="s">
        <v>45</v>
      </c>
      <c r="CZ166" s="1">
        <v>0</v>
      </c>
      <c r="DA166" s="1">
        <v>57</v>
      </c>
      <c r="DB166" s="2">
        <f>CZ166/DA166*100</f>
        <v>0</v>
      </c>
      <c r="DC166" s="1">
        <v>0</v>
      </c>
      <c r="DD166" s="1">
        <v>0</v>
      </c>
      <c r="DE166" s="1">
        <v>0</v>
      </c>
      <c r="DF166" s="1">
        <v>0</v>
      </c>
      <c r="DG166" s="26" t="s">
        <v>764</v>
      </c>
      <c r="DH166" s="7">
        <v>0</v>
      </c>
      <c r="DI166" s="7">
        <v>0</v>
      </c>
      <c r="DJ166" s="3">
        <v>44895</v>
      </c>
      <c r="DK166" s="1" t="s">
        <v>75</v>
      </c>
      <c r="DL166" s="1">
        <f>(DJ166-I166)/365.25*12</f>
        <v>12.2217659137577</v>
      </c>
      <c r="DM166" s="1">
        <v>0</v>
      </c>
      <c r="DQ166" s="7">
        <v>0</v>
      </c>
      <c r="DT166" s="7">
        <v>0</v>
      </c>
      <c r="DU166" s="7">
        <v>0</v>
      </c>
      <c r="DV166" s="7">
        <v>0</v>
      </c>
      <c r="DW166" s="7">
        <f>DU166*(1-DV166)</f>
        <v>0</v>
      </c>
      <c r="DX166" s="7">
        <f>(1-DU166)*DV166</f>
        <v>0</v>
      </c>
      <c r="DY166" s="7">
        <f>DU166*DV166</f>
        <v>0</v>
      </c>
      <c r="EB166" s="7">
        <v>0</v>
      </c>
      <c r="EC166" s="7">
        <v>0</v>
      </c>
      <c r="ED166" s="7">
        <f>1-((1-DQ166)*(1-DT166))</f>
        <v>0</v>
      </c>
      <c r="EI166" s="1">
        <v>0</v>
      </c>
      <c r="EJ166" s="7">
        <f>(1-DQ166)*DX166*(1-EI166)</f>
        <v>0</v>
      </c>
      <c r="FC166" s="6" t="s">
        <v>50</v>
      </c>
      <c r="FD166" s="1">
        <v>0</v>
      </c>
      <c r="FF166" s="1" t="s">
        <v>45</v>
      </c>
      <c r="FI166" s="20">
        <f>IF(DM166=1, (DO166-I166)/365.25*12, IF(DM166=0, DL166, "ERROR"))</f>
        <v>12.2217659137577</v>
      </c>
      <c r="GA166" s="1">
        <v>10</v>
      </c>
      <c r="GB166" s="1">
        <v>10</v>
      </c>
      <c r="GC166" s="1">
        <v>5283.4120000000003</v>
      </c>
      <c r="GD166" s="1">
        <v>5773.63</v>
      </c>
      <c r="GE166" s="25">
        <v>50</v>
      </c>
      <c r="GF166" s="25">
        <v>50</v>
      </c>
      <c r="GG166" s="1">
        <v>4583.2514000000001</v>
      </c>
      <c r="GH166" s="24">
        <v>4448.2353999999996</v>
      </c>
    </row>
    <row r="167" spans="1:190" ht="12.75" customHeight="1">
      <c r="A167" s="1" t="s">
        <v>758</v>
      </c>
      <c r="B167" s="1" t="s">
        <v>757</v>
      </c>
      <c r="C167" s="1">
        <v>56131813</v>
      </c>
      <c r="D167" s="1">
        <v>1</v>
      </c>
      <c r="E167" s="1">
        <v>0</v>
      </c>
      <c r="F167" s="1">
        <v>1</v>
      </c>
      <c r="G167" s="1">
        <v>1</v>
      </c>
      <c r="I167" s="3">
        <v>44540</v>
      </c>
      <c r="J167" s="3">
        <v>44504</v>
      </c>
      <c r="K167" s="3">
        <v>23444</v>
      </c>
      <c r="L167" s="5">
        <f>(DAYS360(K167,I167))/365</f>
        <v>56.964383561643835</v>
      </c>
      <c r="M167" s="1" t="s">
        <v>5</v>
      </c>
      <c r="N167" s="1">
        <v>1</v>
      </c>
      <c r="O167" s="1">
        <v>0</v>
      </c>
      <c r="P167" s="1" t="s">
        <v>69</v>
      </c>
      <c r="Q167" s="1">
        <v>1</v>
      </c>
      <c r="R167" s="1" t="s">
        <v>18</v>
      </c>
      <c r="S167" s="1" t="s">
        <v>756</v>
      </c>
      <c r="T167" s="1" t="s">
        <v>80</v>
      </c>
      <c r="U167" s="1">
        <v>0</v>
      </c>
      <c r="V167" s="1">
        <v>1</v>
      </c>
      <c r="W167" s="1">
        <v>0</v>
      </c>
      <c r="X167" s="1" t="s">
        <v>395</v>
      </c>
      <c r="Y167" s="1">
        <v>3</v>
      </c>
      <c r="Z167" s="1">
        <v>1</v>
      </c>
      <c r="AA167" s="1" t="s">
        <v>116</v>
      </c>
      <c r="AC167" s="1">
        <v>3</v>
      </c>
      <c r="AD167" s="1" t="s">
        <v>755</v>
      </c>
      <c r="AE167" s="1" t="s">
        <v>114</v>
      </c>
      <c r="AF167" s="1">
        <v>0</v>
      </c>
      <c r="AG167" s="1">
        <v>0</v>
      </c>
      <c r="AH167" s="1">
        <v>0</v>
      </c>
      <c r="AI167" s="3">
        <v>44540</v>
      </c>
      <c r="AJ167" s="3">
        <v>44571</v>
      </c>
      <c r="BA167" s="1">
        <v>7</v>
      </c>
      <c r="BG167" s="1">
        <v>44</v>
      </c>
      <c r="BH167" s="1">
        <v>22</v>
      </c>
      <c r="BI167" s="1">
        <v>0</v>
      </c>
      <c r="BJ167" s="1">
        <v>0</v>
      </c>
      <c r="BK167" s="1">
        <v>44</v>
      </c>
      <c r="BL167" s="1">
        <v>22</v>
      </c>
      <c r="BM167" s="1">
        <v>2</v>
      </c>
      <c r="BN167" s="1" t="s">
        <v>62</v>
      </c>
      <c r="BO167" s="1">
        <v>1</v>
      </c>
      <c r="BP167" s="1">
        <v>1</v>
      </c>
      <c r="BQ167" s="1">
        <v>1</v>
      </c>
      <c r="BR167" s="3">
        <v>44540</v>
      </c>
      <c r="BS167" s="1" t="s">
        <v>61</v>
      </c>
      <c r="BT167" s="12" t="s">
        <v>60</v>
      </c>
      <c r="BU167" s="1">
        <v>5</v>
      </c>
      <c r="BV167" s="1">
        <v>1</v>
      </c>
      <c r="CE167" s="1">
        <v>1</v>
      </c>
      <c r="CF167" s="3">
        <v>44609</v>
      </c>
      <c r="CG167" s="7">
        <f>CF167-AJ167</f>
        <v>38</v>
      </c>
      <c r="CH167" s="1" t="s">
        <v>754</v>
      </c>
      <c r="CI167" s="17" t="s">
        <v>460</v>
      </c>
      <c r="CJ167" s="1" t="s">
        <v>182</v>
      </c>
      <c r="CK167" s="1" t="s">
        <v>605</v>
      </c>
      <c r="CL167" s="1" t="s">
        <v>753</v>
      </c>
      <c r="CM167" s="1">
        <v>0</v>
      </c>
      <c r="CN167" s="12" t="str">
        <f>MID(CK167,4,1)</f>
        <v>2</v>
      </c>
      <c r="CO167" s="1" t="s">
        <v>752</v>
      </c>
      <c r="CP167" s="1">
        <v>1</v>
      </c>
      <c r="CQ167" s="1" t="s">
        <v>751</v>
      </c>
      <c r="CR167" s="1">
        <v>0.3</v>
      </c>
      <c r="CS167" s="1" t="s">
        <v>750</v>
      </c>
      <c r="CT167" s="1" t="s">
        <v>511</v>
      </c>
      <c r="CU167" s="1" t="s">
        <v>472</v>
      </c>
      <c r="CV167" s="1">
        <v>0</v>
      </c>
      <c r="CW167" s="1">
        <v>1.2</v>
      </c>
      <c r="CX167" s="1">
        <v>7.9</v>
      </c>
      <c r="CY167" s="1">
        <v>0.25</v>
      </c>
      <c r="CZ167" s="1">
        <v>1</v>
      </c>
      <c r="DA167" s="1">
        <v>51</v>
      </c>
      <c r="DB167" s="2">
        <f>CZ167/DA167*100</f>
        <v>1.9607843137254901</v>
      </c>
      <c r="DC167" s="1">
        <v>0</v>
      </c>
      <c r="DD167" s="1">
        <v>0</v>
      </c>
      <c r="DE167" s="1">
        <v>0</v>
      </c>
      <c r="DF167" s="1">
        <v>0</v>
      </c>
      <c r="DG167" s="26" t="s">
        <v>749</v>
      </c>
      <c r="DH167" s="7">
        <v>0</v>
      </c>
      <c r="DI167" s="7">
        <v>0</v>
      </c>
      <c r="DJ167" s="3">
        <v>44909</v>
      </c>
      <c r="DK167" s="1" t="s">
        <v>75</v>
      </c>
      <c r="DL167" s="1">
        <f>(DJ167-I167)/365.25*12</f>
        <v>12.123203285420946</v>
      </c>
      <c r="DM167" s="1">
        <v>0</v>
      </c>
      <c r="DQ167" s="7">
        <v>0</v>
      </c>
      <c r="DT167" s="7">
        <v>0</v>
      </c>
      <c r="DU167" s="7">
        <v>0</v>
      </c>
      <c r="DV167" s="7">
        <v>0</v>
      </c>
      <c r="DW167" s="7">
        <f>DU167*(1-DV167)</f>
        <v>0</v>
      </c>
      <c r="DX167" s="7">
        <f>(1-DU167)*DV167</f>
        <v>0</v>
      </c>
      <c r="DY167" s="7">
        <f>DU167*DV167</f>
        <v>0</v>
      </c>
      <c r="EB167" s="7">
        <v>0</v>
      </c>
      <c r="EC167" s="7">
        <v>0</v>
      </c>
      <c r="ED167" s="7">
        <f>1-((1-DQ167)*(1-DT167))</f>
        <v>0</v>
      </c>
      <c r="EI167" s="1">
        <v>0</v>
      </c>
      <c r="EJ167" s="7">
        <f>(1-DQ167)*DX167*(1-EI167)</f>
        <v>0</v>
      </c>
      <c r="FC167" s="6" t="s">
        <v>50</v>
      </c>
      <c r="FD167" s="1">
        <v>0</v>
      </c>
      <c r="FF167" s="1" t="s">
        <v>45</v>
      </c>
      <c r="FI167" s="20">
        <f>IF(DM167=1, (DO167-I167)/365.25*12, IF(DM167=0, DL167, "ERROR"))</f>
        <v>12.123203285420946</v>
      </c>
      <c r="GA167" s="1">
        <v>20</v>
      </c>
      <c r="GB167" s="1">
        <v>20</v>
      </c>
      <c r="GC167" s="1">
        <v>1230.7342000000001</v>
      </c>
      <c r="GD167" s="1">
        <v>625.41629999999998</v>
      </c>
      <c r="GE167" s="25">
        <v>100</v>
      </c>
      <c r="GF167" s="25">
        <v>20</v>
      </c>
      <c r="GG167" s="1">
        <v>1588.7917</v>
      </c>
      <c r="GH167" s="24">
        <v>1286.8820000000001</v>
      </c>
    </row>
    <row r="168" spans="1:190" ht="12.75" customHeight="1">
      <c r="A168" s="1" t="s">
        <v>748</v>
      </c>
      <c r="B168" s="1" t="s">
        <v>747</v>
      </c>
      <c r="C168" s="1">
        <v>56241796</v>
      </c>
      <c r="D168" s="1">
        <v>1</v>
      </c>
      <c r="E168" s="1">
        <v>0</v>
      </c>
      <c r="F168" s="1">
        <v>1</v>
      </c>
      <c r="G168" s="1">
        <v>1</v>
      </c>
      <c r="I168" s="3">
        <v>44554</v>
      </c>
      <c r="J168" s="3">
        <v>44532</v>
      </c>
      <c r="K168" s="3">
        <v>22350</v>
      </c>
      <c r="L168" s="5">
        <f>(DAYS360(K168,I168))/365</f>
        <v>59.956164383561642</v>
      </c>
      <c r="M168" s="1" t="s">
        <v>5</v>
      </c>
      <c r="N168" s="1">
        <v>1</v>
      </c>
      <c r="O168" s="1">
        <v>0</v>
      </c>
      <c r="P168" s="1" t="s">
        <v>69</v>
      </c>
      <c r="Q168" s="1">
        <v>1</v>
      </c>
      <c r="R168" s="1" t="s">
        <v>18</v>
      </c>
      <c r="S168" s="1">
        <v>25</v>
      </c>
      <c r="T168" s="1" t="s">
        <v>98</v>
      </c>
      <c r="U168" s="1">
        <v>1</v>
      </c>
      <c r="V168" s="1">
        <v>1</v>
      </c>
      <c r="W168" s="1">
        <v>0</v>
      </c>
      <c r="X168" s="1" t="s">
        <v>395</v>
      </c>
      <c r="Y168" s="1">
        <v>3</v>
      </c>
      <c r="Z168" s="1">
        <v>1</v>
      </c>
      <c r="AA168" s="1" t="s">
        <v>116</v>
      </c>
      <c r="AC168" s="1">
        <v>3</v>
      </c>
      <c r="AD168" s="1" t="s">
        <v>746</v>
      </c>
      <c r="AE168" s="1" t="s">
        <v>114</v>
      </c>
      <c r="AF168" s="1">
        <v>0</v>
      </c>
      <c r="AG168" s="1">
        <v>0</v>
      </c>
      <c r="AH168" s="1">
        <v>0</v>
      </c>
      <c r="AI168" s="3">
        <v>44554</v>
      </c>
      <c r="AJ168" s="3">
        <v>44585</v>
      </c>
      <c r="BA168" s="1">
        <v>8.5</v>
      </c>
      <c r="BG168" s="1">
        <v>44</v>
      </c>
      <c r="BH168" s="1">
        <v>22</v>
      </c>
      <c r="BI168" s="1">
        <v>0</v>
      </c>
      <c r="BJ168" s="1">
        <v>0</v>
      </c>
      <c r="BK168" s="1">
        <v>44</v>
      </c>
      <c r="BL168" s="1">
        <v>22</v>
      </c>
      <c r="BM168" s="1">
        <v>2</v>
      </c>
      <c r="BN168" s="1" t="s">
        <v>62</v>
      </c>
      <c r="BO168" s="1">
        <v>1</v>
      </c>
      <c r="BP168" s="1">
        <v>1</v>
      </c>
      <c r="BQ168" s="1">
        <v>1</v>
      </c>
      <c r="BR168" s="3">
        <v>44554</v>
      </c>
      <c r="BS168" s="1" t="s">
        <v>61</v>
      </c>
      <c r="BT168" s="12" t="s">
        <v>60</v>
      </c>
      <c r="BU168" s="1">
        <v>5</v>
      </c>
      <c r="BV168" s="1">
        <v>1</v>
      </c>
      <c r="CE168" s="1">
        <v>1</v>
      </c>
      <c r="CF168" s="3">
        <v>44623</v>
      </c>
      <c r="CG168" s="7">
        <f>CF168-AJ168</f>
        <v>38</v>
      </c>
      <c r="CH168" s="1" t="s">
        <v>0</v>
      </c>
      <c r="CI168" s="1" t="s">
        <v>183</v>
      </c>
      <c r="CJ168" s="1" t="s">
        <v>182</v>
      </c>
      <c r="CK168" s="1" t="s">
        <v>745</v>
      </c>
      <c r="CL168" s="1" t="s">
        <v>96</v>
      </c>
      <c r="CM168" s="1">
        <v>0</v>
      </c>
      <c r="CN168" s="12" t="str">
        <f>MID(CK168,4,1)</f>
        <v>3</v>
      </c>
      <c r="CO168" s="1" t="s">
        <v>744</v>
      </c>
      <c r="CP168" s="1">
        <v>2</v>
      </c>
      <c r="CQ168" s="1" t="s">
        <v>743</v>
      </c>
      <c r="CR168" s="1">
        <v>4.9000000000000004</v>
      </c>
      <c r="CS168" s="1" t="s">
        <v>742</v>
      </c>
      <c r="CT168" s="1" t="s">
        <v>511</v>
      </c>
      <c r="CU168" s="1" t="s">
        <v>454</v>
      </c>
      <c r="CV168" s="1">
        <v>0</v>
      </c>
      <c r="CW168" s="1">
        <v>1</v>
      </c>
      <c r="CX168" s="1">
        <v>4.5</v>
      </c>
      <c r="CY168" s="1">
        <v>0.1</v>
      </c>
      <c r="CZ168" s="1">
        <v>4</v>
      </c>
      <c r="DA168" s="1">
        <v>71</v>
      </c>
      <c r="DB168" s="2">
        <f>CZ168/DA168*100</f>
        <v>5.6338028169014089</v>
      </c>
      <c r="DC168" s="1">
        <v>1</v>
      </c>
      <c r="DD168" s="1">
        <v>1</v>
      </c>
      <c r="DE168" s="1">
        <v>1</v>
      </c>
      <c r="DF168" s="1">
        <v>0</v>
      </c>
      <c r="DG168" s="26" t="s">
        <v>741</v>
      </c>
      <c r="DH168" s="7">
        <v>0</v>
      </c>
      <c r="DI168" s="7">
        <v>1</v>
      </c>
      <c r="DJ168" s="3">
        <v>44918</v>
      </c>
      <c r="DK168" s="1" t="s">
        <v>740</v>
      </c>
      <c r="DL168" s="1">
        <f>(DJ168-I168)/365.25*12</f>
        <v>11.958932238193018</v>
      </c>
      <c r="DM168" s="1">
        <v>1</v>
      </c>
      <c r="DO168" s="3">
        <v>44853</v>
      </c>
      <c r="DQ168" s="7">
        <v>0</v>
      </c>
      <c r="DT168" s="7">
        <v>1</v>
      </c>
      <c r="DZ168" s="3">
        <v>44853</v>
      </c>
      <c r="EB168" s="7">
        <v>1</v>
      </c>
      <c r="EC168" s="7">
        <v>0</v>
      </c>
      <c r="ED168" s="7">
        <f>1-((1-DQ168)*(1-DT168))</f>
        <v>1</v>
      </c>
      <c r="EE168" s="11">
        <f>MIN(DR168,DZ168)</f>
        <v>44853</v>
      </c>
      <c r="EI168" s="1">
        <v>1</v>
      </c>
      <c r="EK168" s="3">
        <v>44853</v>
      </c>
      <c r="FC168" s="6" t="s">
        <v>50</v>
      </c>
      <c r="FD168" s="1">
        <v>0</v>
      </c>
      <c r="FF168" s="1" t="s">
        <v>45</v>
      </c>
      <c r="FI168" s="20">
        <f>IF(DM168=1, (DO168-I168)/365.25*12, IF(DM168=0, DL168, "ERROR"))</f>
        <v>9.8234086242299803</v>
      </c>
      <c r="GA168" s="1">
        <v>0</v>
      </c>
      <c r="GB168" s="1">
        <v>0</v>
      </c>
      <c r="GC168" s="1">
        <v>120.55710000000001</v>
      </c>
      <c r="GD168" s="1">
        <v>19.9284</v>
      </c>
      <c r="GE168" s="25">
        <v>5</v>
      </c>
      <c r="GF168" s="25">
        <v>5</v>
      </c>
      <c r="GG168" s="1">
        <v>397.01979999999998</v>
      </c>
      <c r="GH168" s="24">
        <v>336.7679</v>
      </c>
    </row>
    <row r="169" spans="1:190" ht="12.75" hidden="1" customHeight="1">
      <c r="A169" s="1" t="s">
        <v>739</v>
      </c>
      <c r="B169" s="1" t="s">
        <v>738</v>
      </c>
      <c r="C169" s="23" t="s">
        <v>737</v>
      </c>
      <c r="D169" s="1">
        <v>0</v>
      </c>
      <c r="E169" s="1">
        <v>0</v>
      </c>
      <c r="G169" s="1">
        <v>2</v>
      </c>
      <c r="I169" s="3" t="s">
        <v>735</v>
      </c>
      <c r="J169" s="3">
        <v>41718</v>
      </c>
      <c r="K169" s="3">
        <v>18448</v>
      </c>
      <c r="L169" s="5">
        <f>(DAYS360(K169,I169))/365</f>
        <v>62.868493150684934</v>
      </c>
      <c r="M169" s="1" t="s">
        <v>370</v>
      </c>
      <c r="N169" s="1" t="s">
        <v>639</v>
      </c>
      <c r="O169" s="1">
        <v>0</v>
      </c>
      <c r="P169" s="1" t="s">
        <v>423</v>
      </c>
      <c r="Q169" s="1">
        <v>1</v>
      </c>
      <c r="R169" s="1" t="s">
        <v>18</v>
      </c>
      <c r="S169" s="1" t="s">
        <v>625</v>
      </c>
      <c r="T169" s="1" t="s">
        <v>368</v>
      </c>
      <c r="U169" s="1">
        <v>0</v>
      </c>
      <c r="V169" s="1">
        <v>0</v>
      </c>
      <c r="W169" s="1">
        <v>1</v>
      </c>
      <c r="X169" s="1" t="s">
        <v>691</v>
      </c>
      <c r="Y169" s="1" t="s">
        <v>636</v>
      </c>
      <c r="Z169" s="1" t="s">
        <v>690</v>
      </c>
      <c r="AA169" s="1" t="s">
        <v>366</v>
      </c>
      <c r="AC169" s="1">
        <v>3</v>
      </c>
      <c r="AD169" s="1" t="s">
        <v>736</v>
      </c>
      <c r="AE169" s="1" t="s">
        <v>611</v>
      </c>
      <c r="AF169" s="1">
        <v>0</v>
      </c>
      <c r="AG169" s="1">
        <v>0</v>
      </c>
      <c r="AH169" s="1">
        <v>0</v>
      </c>
      <c r="AI169" s="3" t="s">
        <v>735</v>
      </c>
      <c r="AJ169" s="3" t="s">
        <v>734</v>
      </c>
      <c r="AK169" s="6" t="s">
        <v>733</v>
      </c>
      <c r="AL169" s="6" t="s">
        <v>732</v>
      </c>
      <c r="AM169" s="1">
        <v>0</v>
      </c>
      <c r="AN169" s="1">
        <v>0</v>
      </c>
      <c r="AO169" s="1">
        <v>0</v>
      </c>
      <c r="AP169" s="1">
        <v>0</v>
      </c>
      <c r="AQ169" s="1">
        <v>0</v>
      </c>
      <c r="AR169" s="1">
        <v>0</v>
      </c>
      <c r="AS169" s="1">
        <v>0</v>
      </c>
      <c r="AT169" s="1">
        <v>0</v>
      </c>
      <c r="AU169" s="6" t="s">
        <v>679</v>
      </c>
      <c r="AX169" s="6" t="s">
        <v>357</v>
      </c>
      <c r="AY169" s="6" t="s">
        <v>357</v>
      </c>
      <c r="AZ169" s="6" t="s">
        <v>731</v>
      </c>
      <c r="BA169" s="1">
        <f>0.5*17</f>
        <v>8.5</v>
      </c>
      <c r="BB169" s="1">
        <v>147.53</v>
      </c>
      <c r="BE169" s="1">
        <v>147.53</v>
      </c>
      <c r="BG169" s="1">
        <v>45</v>
      </c>
      <c r="BH169" s="1">
        <v>45</v>
      </c>
      <c r="BI169" s="1">
        <v>0</v>
      </c>
      <c r="BJ169" s="1">
        <v>0</v>
      </c>
      <c r="BK169" s="1">
        <f>BH169+BI169</f>
        <v>45</v>
      </c>
      <c r="BL169" s="1">
        <v>20</v>
      </c>
      <c r="BM169" s="1">
        <v>2.25</v>
      </c>
      <c r="BN169" s="1" t="s">
        <v>110</v>
      </c>
      <c r="BO169" s="1">
        <v>0</v>
      </c>
      <c r="BP169" s="1">
        <v>1</v>
      </c>
      <c r="BQ169" s="1">
        <v>1</v>
      </c>
      <c r="BR169" s="3">
        <v>41730</v>
      </c>
      <c r="BS169" s="1" t="s">
        <v>109</v>
      </c>
      <c r="BT169" s="12" t="s">
        <v>90</v>
      </c>
      <c r="BU169" s="1">
        <v>2</v>
      </c>
      <c r="BV169" s="1">
        <v>1</v>
      </c>
      <c r="BW169" s="1">
        <v>3.31</v>
      </c>
      <c r="BZ169" s="1">
        <v>13.6</v>
      </c>
      <c r="CA169" s="1">
        <v>162</v>
      </c>
      <c r="CE169" s="1">
        <v>1</v>
      </c>
      <c r="CF169" s="3">
        <v>41814</v>
      </c>
      <c r="CG169" s="7">
        <f>CF169-AJ169</f>
        <v>57</v>
      </c>
      <c r="CH169" s="1" t="s">
        <v>730</v>
      </c>
      <c r="CI169" s="12" t="s">
        <v>183</v>
      </c>
      <c r="CJ169" s="1" t="s">
        <v>606</v>
      </c>
      <c r="CK169" s="1" t="s">
        <v>729</v>
      </c>
      <c r="CL169" s="1" t="s">
        <v>716</v>
      </c>
      <c r="CM169" s="1">
        <v>0</v>
      </c>
      <c r="CO169" s="1" t="s">
        <v>604</v>
      </c>
      <c r="CQ169" s="1" t="s">
        <v>728</v>
      </c>
      <c r="CR169" s="1">
        <v>2.2999999999999998</v>
      </c>
      <c r="CS169" s="1" t="s">
        <v>602</v>
      </c>
      <c r="CT169" s="1" t="s">
        <v>727</v>
      </c>
      <c r="CU169" s="1" t="s">
        <v>726</v>
      </c>
      <c r="CV169" s="1">
        <v>0</v>
      </c>
      <c r="CW169" s="1">
        <v>5.4</v>
      </c>
      <c r="CX169" s="1">
        <v>16</v>
      </c>
      <c r="CY169" s="1">
        <v>0.4</v>
      </c>
      <c r="CZ169" s="1">
        <v>3</v>
      </c>
      <c r="DA169" s="1">
        <v>37</v>
      </c>
      <c r="DB169" s="2">
        <f>CZ169/DA169*100</f>
        <v>8.1081081081081088</v>
      </c>
      <c r="DC169" s="1">
        <v>1</v>
      </c>
      <c r="DD169" s="1">
        <v>0</v>
      </c>
      <c r="DE169" s="1">
        <v>0</v>
      </c>
      <c r="DF169" s="1">
        <v>0</v>
      </c>
      <c r="DH169" s="7">
        <v>0</v>
      </c>
      <c r="DI169" s="7">
        <v>0</v>
      </c>
      <c r="DJ169" s="3">
        <v>42325</v>
      </c>
      <c r="DK169" s="1" t="s">
        <v>725</v>
      </c>
      <c r="DL169" s="1">
        <f>(DJ169-I169)/365.25*12</f>
        <v>19.548254620123203</v>
      </c>
      <c r="DM169" s="1">
        <v>0</v>
      </c>
      <c r="DN169" s="1" t="s">
        <v>357</v>
      </c>
      <c r="DO169" s="1" t="s">
        <v>357</v>
      </c>
      <c r="DP169" s="6" t="s">
        <v>357</v>
      </c>
      <c r="DQ169" s="7">
        <v>0</v>
      </c>
      <c r="DR169" s="3" t="s">
        <v>357</v>
      </c>
      <c r="DS169" s="10">
        <f>IF(DQ169=1, (DR169-$I169)/365.25*12, IF(DQ169=0, $DL169, "ERROR"))</f>
        <v>19.548254620123203</v>
      </c>
      <c r="DT169" s="7">
        <v>0</v>
      </c>
      <c r="DU169" s="7">
        <v>0</v>
      </c>
      <c r="DV169" s="7">
        <v>0</v>
      </c>
      <c r="DW169" s="16">
        <f>DU169*(1-DV169)</f>
        <v>0</v>
      </c>
      <c r="DX169" s="16">
        <f>(1-DU169)*DV169</f>
        <v>0</v>
      </c>
      <c r="DY169" s="16">
        <f>DU169*DV169</f>
        <v>0</v>
      </c>
      <c r="DZ169" s="3" t="s">
        <v>357</v>
      </c>
      <c r="EA169" s="10">
        <f>IF(DT169=1, (DZ169-$I169)/365.25*12, IF(DT169=0, $DL169, "ERROR"))</f>
        <v>19.548254620123203</v>
      </c>
      <c r="EB169" s="7">
        <v>0</v>
      </c>
      <c r="EC169" s="7">
        <v>0</v>
      </c>
      <c r="ED169" s="16">
        <f>1-((1-DQ169)*(1-DT169))</f>
        <v>0</v>
      </c>
      <c r="EE169" s="11" t="s">
        <v>45</v>
      </c>
      <c r="EF169" s="1" t="s">
        <v>357</v>
      </c>
      <c r="EG169" s="7" t="s">
        <v>357</v>
      </c>
      <c r="EH169" s="1" t="s">
        <v>357</v>
      </c>
      <c r="EI169" s="7">
        <v>0</v>
      </c>
      <c r="EJ169" s="16">
        <f>(1-DQ169)*DX169*(1-EI169)</f>
        <v>0</v>
      </c>
      <c r="EK169" s="1" t="s">
        <v>357</v>
      </c>
      <c r="EL169" s="10">
        <f>IF(EI169=1, (EK169-$I169)/365.25*12, IF(EI169=0, $DL169, "ERROR"))</f>
        <v>19.548254620123203</v>
      </c>
      <c r="EM169" s="1" t="s">
        <v>357</v>
      </c>
      <c r="EN169" s="1">
        <v>0</v>
      </c>
      <c r="EO169" s="1">
        <v>0</v>
      </c>
      <c r="EP169" s="1">
        <v>0</v>
      </c>
      <c r="EQ169" s="1">
        <v>0</v>
      </c>
      <c r="ER169" s="1">
        <v>0</v>
      </c>
      <c r="ES169" s="1">
        <v>0</v>
      </c>
      <c r="ET169" s="1">
        <v>0</v>
      </c>
      <c r="EU169" s="1">
        <v>0</v>
      </c>
      <c r="EV169" s="1">
        <v>0</v>
      </c>
      <c r="EW169" s="1">
        <f>1-((1-EP169)*(1-ET169)*(1-EU169)*(1-EV169))</f>
        <v>0</v>
      </c>
      <c r="EX169" s="7">
        <v>0</v>
      </c>
      <c r="EY169" s="7">
        <v>0</v>
      </c>
      <c r="EZ169" s="7">
        <v>0</v>
      </c>
      <c r="FA169" s="7">
        <v>0</v>
      </c>
      <c r="FB169" s="1" t="s">
        <v>357</v>
      </c>
      <c r="FC169" s="1">
        <v>0</v>
      </c>
      <c r="FD169" s="1">
        <v>0</v>
      </c>
      <c r="FF169" s="3" t="s">
        <v>45</v>
      </c>
      <c r="FG169" s="3">
        <f>IF(FC169=1, FF169, IF(FD169=1, 44348, DJ169))</f>
        <v>42325</v>
      </c>
      <c r="FH169" s="13">
        <f>(FG169-I169)/365.25*12</f>
        <v>19.548254620123203</v>
      </c>
      <c r="FI169" s="13"/>
      <c r="FJ169" s="14">
        <f>IF(OR(DM169,FC169), 1, 0)</f>
        <v>0</v>
      </c>
      <c r="FK169" s="11">
        <f>IF(DM169=1,IF(FC169=1,MIN(DO169,FF169),DO169),IF(FC169=1,FF169,DJ169))</f>
        <v>42325</v>
      </c>
      <c r="FL169" s="13">
        <f>(FK169-$I169)/365.25*12</f>
        <v>19.548254620123203</v>
      </c>
      <c r="FM169" s="14">
        <f>IF(OR(ED169,FC169), 1, 0)</f>
        <v>0</v>
      </c>
      <c r="FN169" s="11">
        <f>IF(ED169=1,IF(FC169=1,MIN(EE169,FF169),EE169),IF(FC169=1,FF169,DJ169))</f>
        <v>42325</v>
      </c>
      <c r="FO169" s="13">
        <f>(FN169-$I169)/365.25*12</f>
        <v>19.548254620123203</v>
      </c>
      <c r="FP169" s="14">
        <f>IF(OR(EI169,FC169), 1, 0)</f>
        <v>0</v>
      </c>
      <c r="FQ169" s="11">
        <f>IF(EI169=1,IF(FC169=1,MIN(EK169,FF169),EK169),IF(FC169=1,FF169,DJ169))</f>
        <v>42325</v>
      </c>
      <c r="FR169" s="13">
        <f>(FQ169-$I169)/365.25*12</f>
        <v>19.548254620123203</v>
      </c>
      <c r="FU169" s="1">
        <v>1</v>
      </c>
      <c r="FV169" s="1">
        <v>1</v>
      </c>
      <c r="FW169" s="1">
        <v>0</v>
      </c>
      <c r="FX169" s="1">
        <v>0</v>
      </c>
    </row>
    <row r="170" spans="1:190" ht="12.75" hidden="1" customHeight="1">
      <c r="A170" s="1" t="s">
        <v>724</v>
      </c>
      <c r="B170" s="1" t="s">
        <v>723</v>
      </c>
      <c r="C170" s="23" t="s">
        <v>722</v>
      </c>
      <c r="D170" s="1">
        <v>0</v>
      </c>
      <c r="E170" s="1">
        <v>0</v>
      </c>
      <c r="G170" s="1">
        <v>2</v>
      </c>
      <c r="I170" s="3" t="s">
        <v>719</v>
      </c>
      <c r="J170" s="3">
        <v>41824</v>
      </c>
      <c r="K170" s="3">
        <v>15529</v>
      </c>
      <c r="L170" s="5">
        <f>(DAYS360(K170,I170))/365</f>
        <v>71.032876712328772</v>
      </c>
      <c r="M170" s="1" t="s">
        <v>370</v>
      </c>
      <c r="N170" s="1" t="s">
        <v>639</v>
      </c>
      <c r="O170" s="1">
        <v>0</v>
      </c>
      <c r="P170" s="1" t="s">
        <v>423</v>
      </c>
      <c r="Q170" s="1">
        <v>1</v>
      </c>
      <c r="R170" s="1" t="s">
        <v>18</v>
      </c>
      <c r="S170" s="1" t="s">
        <v>721</v>
      </c>
      <c r="T170" s="1" t="s">
        <v>368</v>
      </c>
      <c r="U170" s="1">
        <v>0</v>
      </c>
      <c r="V170" s="1">
        <v>0</v>
      </c>
      <c r="W170" s="1">
        <v>1</v>
      </c>
      <c r="X170" s="1" t="s">
        <v>395</v>
      </c>
      <c r="Y170" s="1">
        <v>3</v>
      </c>
      <c r="Z170" s="1">
        <v>1</v>
      </c>
      <c r="AA170" s="1" t="s">
        <v>366</v>
      </c>
      <c r="AC170" s="1">
        <v>3</v>
      </c>
      <c r="AD170" s="1" t="s">
        <v>720</v>
      </c>
      <c r="AE170" s="1" t="s">
        <v>611</v>
      </c>
      <c r="AF170" s="1">
        <v>0</v>
      </c>
      <c r="AG170" s="1">
        <v>0</v>
      </c>
      <c r="AH170" s="1">
        <v>0</v>
      </c>
      <c r="AI170" s="3" t="s">
        <v>719</v>
      </c>
      <c r="AJ170" s="3" t="s">
        <v>718</v>
      </c>
      <c r="AK170" s="6" t="s">
        <v>679</v>
      </c>
      <c r="AM170" s="1">
        <v>0</v>
      </c>
      <c r="AN170" s="1">
        <v>0</v>
      </c>
      <c r="AO170" s="1">
        <v>0</v>
      </c>
      <c r="AP170" s="1">
        <v>0</v>
      </c>
      <c r="AQ170" s="1">
        <v>0</v>
      </c>
      <c r="AR170" s="1">
        <v>0</v>
      </c>
      <c r="AS170" s="1">
        <v>0</v>
      </c>
      <c r="AT170" s="1">
        <v>0</v>
      </c>
      <c r="AU170" s="6" t="s">
        <v>679</v>
      </c>
      <c r="BA170" s="1">
        <f>21*0.5</f>
        <v>10.5</v>
      </c>
      <c r="BB170" s="1">
        <v>145.56</v>
      </c>
      <c r="BE170" s="1">
        <v>438.71</v>
      </c>
      <c r="BG170" s="1">
        <v>40</v>
      </c>
      <c r="BH170" s="1">
        <v>40</v>
      </c>
      <c r="BI170" s="1">
        <v>0</v>
      </c>
      <c r="BJ170" s="1">
        <v>0</v>
      </c>
      <c r="BK170" s="1">
        <f>BH170+BI170</f>
        <v>40</v>
      </c>
      <c r="BL170" s="1">
        <v>20</v>
      </c>
      <c r="BM170" s="1">
        <v>2</v>
      </c>
      <c r="BN170" s="1" t="s">
        <v>110</v>
      </c>
      <c r="BO170" s="1">
        <v>0</v>
      </c>
      <c r="BP170" s="1">
        <v>1</v>
      </c>
      <c r="BQ170" s="1">
        <v>1</v>
      </c>
      <c r="BR170" s="3">
        <v>41834</v>
      </c>
      <c r="BS170" s="1" t="s">
        <v>109</v>
      </c>
      <c r="BT170" s="12" t="s">
        <v>90</v>
      </c>
      <c r="BU170" s="1">
        <v>2</v>
      </c>
      <c r="BV170" s="1">
        <v>1</v>
      </c>
      <c r="CB170" s="1">
        <v>1.57</v>
      </c>
      <c r="CE170" s="1">
        <v>1</v>
      </c>
      <c r="CF170" s="3">
        <v>41905</v>
      </c>
      <c r="CG170" s="7">
        <f>CF170-AJ170</f>
        <v>42</v>
      </c>
      <c r="CH170" s="1" t="s">
        <v>664</v>
      </c>
      <c r="CI170" s="17" t="s">
        <v>460</v>
      </c>
      <c r="CJ170" s="1" t="s">
        <v>606</v>
      </c>
      <c r="CK170" s="1" t="s">
        <v>717</v>
      </c>
      <c r="CL170" s="1" t="s">
        <v>716</v>
      </c>
      <c r="CM170" s="1">
        <v>0</v>
      </c>
      <c r="CO170" s="1" t="s">
        <v>604</v>
      </c>
      <c r="CQ170" s="1" t="s">
        <v>715</v>
      </c>
      <c r="CR170" s="1">
        <v>5.6</v>
      </c>
      <c r="CS170" s="1" t="s">
        <v>602</v>
      </c>
      <c r="CT170" s="1" t="s">
        <v>699</v>
      </c>
      <c r="CU170" s="1" t="s">
        <v>647</v>
      </c>
      <c r="CV170" s="1">
        <v>0</v>
      </c>
      <c r="CW170" s="1">
        <v>3</v>
      </c>
      <c r="CX170" s="1">
        <v>3.7</v>
      </c>
      <c r="CY170" s="1">
        <v>1</v>
      </c>
      <c r="CZ170" s="1">
        <v>1</v>
      </c>
      <c r="DA170" s="1">
        <v>15</v>
      </c>
      <c r="DB170" s="2">
        <f>CZ170/DA170*100</f>
        <v>6.666666666666667</v>
      </c>
      <c r="DC170" s="1">
        <v>0</v>
      </c>
      <c r="DD170" s="1">
        <v>0</v>
      </c>
      <c r="DE170" s="1">
        <v>1</v>
      </c>
      <c r="DF170" s="1">
        <v>0</v>
      </c>
      <c r="DH170" s="7">
        <v>0</v>
      </c>
      <c r="DI170" s="7">
        <v>0</v>
      </c>
      <c r="DJ170" s="3">
        <v>42426</v>
      </c>
      <c r="DK170" s="1" t="s">
        <v>714</v>
      </c>
      <c r="DL170" s="1">
        <f>(DJ170-I170)/365.25*12</f>
        <v>19.449691991786448</v>
      </c>
      <c r="DM170" s="1">
        <v>1</v>
      </c>
      <c r="DN170" s="1" t="s">
        <v>713</v>
      </c>
      <c r="DO170" s="3">
        <v>42079</v>
      </c>
      <c r="DP170" s="6" t="s">
        <v>712</v>
      </c>
      <c r="DQ170" s="7">
        <v>0</v>
      </c>
      <c r="DR170" s="3" t="s">
        <v>357</v>
      </c>
      <c r="DS170" s="10">
        <f>IF(DQ170=1, (DR170-$I170)/365.25*12, IF(DQ170=0, $DL170, "ERROR"))</f>
        <v>19.449691991786448</v>
      </c>
      <c r="DT170" s="7">
        <v>1</v>
      </c>
      <c r="DU170" s="7">
        <v>0</v>
      </c>
      <c r="DV170" s="7">
        <v>1</v>
      </c>
      <c r="DW170" s="16">
        <f>DU170*(1-DV170)</f>
        <v>0</v>
      </c>
      <c r="DX170" s="16">
        <f>(1-DU170)*DV170</f>
        <v>1</v>
      </c>
      <c r="DY170" s="16">
        <f>DU170*DV170</f>
        <v>0</v>
      </c>
      <c r="DZ170" s="3">
        <v>42079</v>
      </c>
      <c r="EA170" s="10">
        <f>IF(DT170=1, (DZ170-$I170)/365.25*12, IF(DT170=0, $DL170, "ERROR"))</f>
        <v>8.049281314168379</v>
      </c>
      <c r="EB170" s="7">
        <v>1</v>
      </c>
      <c r="EC170" s="7">
        <v>0</v>
      </c>
      <c r="ED170" s="16">
        <f>1-((1-DQ170)*(1-DT170))</f>
        <v>1</v>
      </c>
      <c r="EE170" s="11">
        <f>MIN(DR170,DZ170)</f>
        <v>42079</v>
      </c>
      <c r="EF170" s="1" t="s">
        <v>618</v>
      </c>
      <c r="EG170" s="7" t="s">
        <v>357</v>
      </c>
      <c r="EH170" s="1" t="s">
        <v>357</v>
      </c>
      <c r="EI170" s="7">
        <v>1</v>
      </c>
      <c r="EJ170" s="16">
        <f>(1-DQ170)*DX170*(1-EI170)</f>
        <v>0</v>
      </c>
      <c r="EK170" s="3">
        <v>42079</v>
      </c>
      <c r="EL170" s="10">
        <f>IF(EI170=1, (EK170-$I170)/365.25*12, IF(EI170=0, $DL170, "ERROR"))</f>
        <v>8.049281314168379</v>
      </c>
      <c r="EM170" s="1" t="s">
        <v>711</v>
      </c>
      <c r="EN170" s="7">
        <v>1</v>
      </c>
      <c r="EO170" s="7">
        <v>0</v>
      </c>
      <c r="EP170" s="7">
        <v>0</v>
      </c>
      <c r="EQ170" s="7">
        <v>1</v>
      </c>
      <c r="ER170" s="7">
        <v>0</v>
      </c>
      <c r="ES170" s="7">
        <v>0</v>
      </c>
      <c r="ET170" s="7">
        <v>0</v>
      </c>
      <c r="EU170" s="7">
        <v>0</v>
      </c>
      <c r="EV170" s="7">
        <v>0</v>
      </c>
      <c r="EW170" s="1">
        <f>1-((1-EP170)*(1-ET170)*(1-EU170)*(1-EV170))</f>
        <v>0</v>
      </c>
      <c r="EX170" s="7">
        <v>0</v>
      </c>
      <c r="EY170" s="7">
        <v>0</v>
      </c>
      <c r="EZ170" s="7">
        <v>0</v>
      </c>
      <c r="FA170" s="7">
        <v>0</v>
      </c>
      <c r="FB170" s="1" t="s">
        <v>357</v>
      </c>
      <c r="FC170" s="1">
        <v>1</v>
      </c>
      <c r="FD170" s="1">
        <v>1</v>
      </c>
      <c r="FF170" s="3">
        <v>42444</v>
      </c>
      <c r="FG170" s="3">
        <f>IF(FC170=1, FF170, IF(FD170=1, 44348, DJ170))</f>
        <v>42444</v>
      </c>
      <c r="FH170" s="13">
        <f>(FG170-I170)/365.25*12</f>
        <v>20.041067761806982</v>
      </c>
      <c r="FI170" s="13"/>
      <c r="FJ170" s="14">
        <f>IF(OR(DM170,FC170), 1, 0)</f>
        <v>1</v>
      </c>
      <c r="FK170" s="11">
        <f>IF(DM170=1,IF(FC170=1,MIN(DO170,FF170),DO170),IF(FC170=1,FF170,DJ170))</f>
        <v>42079</v>
      </c>
      <c r="FL170" s="13">
        <f>(FK170-$I170)/365.25*12</f>
        <v>8.049281314168379</v>
      </c>
      <c r="FM170" s="14">
        <f>IF(OR(ED170,FC170), 1, 0)</f>
        <v>1</v>
      </c>
      <c r="FN170" s="11">
        <f>IF(ED170=1,IF(FC170=1,MIN(EE170,FF170),EE170),IF(FC170=1,FF170,DJ170))</f>
        <v>42079</v>
      </c>
      <c r="FO170" s="13">
        <f>(FN170-$I170)/365.25*12</f>
        <v>8.049281314168379</v>
      </c>
      <c r="FP170" s="14">
        <f>IF(OR(EI170,FC170), 1, 0)</f>
        <v>1</v>
      </c>
      <c r="FQ170" s="11">
        <f>IF(EI170=1,IF(FC170=1,MIN(EK170,FF170),EK170),IF(FC170=1,FF170,DJ170))</f>
        <v>42079</v>
      </c>
      <c r="FR170" s="13">
        <f>(FQ170-$I170)/365.25*12</f>
        <v>8.049281314168379</v>
      </c>
      <c r="FU170" s="1">
        <v>0</v>
      </c>
      <c r="FV170" s="1">
        <v>0</v>
      </c>
      <c r="FW170" s="1">
        <v>0</v>
      </c>
      <c r="FX170" s="1">
        <v>0</v>
      </c>
    </row>
    <row r="171" spans="1:190" ht="12.75" hidden="1" customHeight="1">
      <c r="A171" s="1" t="s">
        <v>710</v>
      </c>
      <c r="B171" s="1" t="s">
        <v>709</v>
      </c>
      <c r="C171" s="23" t="s">
        <v>708</v>
      </c>
      <c r="D171" s="1">
        <v>0</v>
      </c>
      <c r="E171" s="1">
        <v>0</v>
      </c>
      <c r="G171" s="1">
        <v>2</v>
      </c>
      <c r="I171" s="3" t="s">
        <v>705</v>
      </c>
      <c r="J171" s="3">
        <v>41898</v>
      </c>
      <c r="K171" s="3">
        <v>20165</v>
      </c>
      <c r="L171" s="5">
        <f>(DAYS360(K171,I171))/365</f>
        <v>58.736986301369861</v>
      </c>
      <c r="M171" s="1" t="s">
        <v>707</v>
      </c>
      <c r="N171" s="1" t="s">
        <v>690</v>
      </c>
      <c r="O171" s="1">
        <v>0</v>
      </c>
      <c r="P171" s="1" t="s">
        <v>423</v>
      </c>
      <c r="Q171" s="1">
        <v>1</v>
      </c>
      <c r="R171" s="1" t="s">
        <v>18</v>
      </c>
      <c r="S171" s="1" t="s">
        <v>706</v>
      </c>
      <c r="T171" s="1" t="s">
        <v>150</v>
      </c>
      <c r="U171" s="1">
        <v>0</v>
      </c>
      <c r="V171" s="1">
        <v>1</v>
      </c>
      <c r="W171" s="1">
        <v>1</v>
      </c>
      <c r="X171" s="1" t="s">
        <v>637</v>
      </c>
      <c r="Y171" s="1">
        <v>3</v>
      </c>
      <c r="Z171" s="1">
        <v>0</v>
      </c>
      <c r="AA171" s="1" t="s">
        <v>382</v>
      </c>
      <c r="AC171" s="1">
        <v>2</v>
      </c>
      <c r="AD171" s="1" t="s">
        <v>634</v>
      </c>
      <c r="AE171" s="1" t="s">
        <v>634</v>
      </c>
      <c r="AF171" s="1">
        <v>0</v>
      </c>
      <c r="AG171" s="1">
        <v>0</v>
      </c>
      <c r="AH171" s="1">
        <v>0</v>
      </c>
      <c r="AI171" s="3" t="s">
        <v>705</v>
      </c>
      <c r="AJ171" s="3" t="s">
        <v>704</v>
      </c>
      <c r="AK171" s="6" t="s">
        <v>679</v>
      </c>
      <c r="AM171" s="1">
        <v>1</v>
      </c>
      <c r="AN171" s="1">
        <v>1</v>
      </c>
      <c r="AO171" s="1">
        <v>0</v>
      </c>
      <c r="AP171" s="1">
        <v>0</v>
      </c>
      <c r="AQ171" s="1">
        <v>0</v>
      </c>
      <c r="AR171" s="1">
        <v>0</v>
      </c>
      <c r="AS171" s="1">
        <v>0</v>
      </c>
      <c r="AT171" s="1">
        <v>0</v>
      </c>
      <c r="AU171" s="6" t="s">
        <v>679</v>
      </c>
      <c r="BA171" s="1">
        <f>26*0.5</f>
        <v>13</v>
      </c>
      <c r="BB171" s="1">
        <v>126.78</v>
      </c>
      <c r="BE171" s="1">
        <v>412.19</v>
      </c>
      <c r="BG171" s="1">
        <v>40</v>
      </c>
      <c r="BH171" s="1">
        <v>40</v>
      </c>
      <c r="BI171" s="1">
        <v>0</v>
      </c>
      <c r="BJ171" s="1">
        <v>0</v>
      </c>
      <c r="BK171" s="1">
        <f>BH171+BI171</f>
        <v>40</v>
      </c>
      <c r="BL171" s="1">
        <v>20</v>
      </c>
      <c r="BM171" s="1">
        <v>2</v>
      </c>
      <c r="BN171" s="1" t="s">
        <v>110</v>
      </c>
      <c r="BO171" s="1">
        <v>0</v>
      </c>
      <c r="BP171" s="1">
        <v>1</v>
      </c>
      <c r="BQ171" s="1">
        <v>1</v>
      </c>
      <c r="BR171" s="3">
        <v>41918</v>
      </c>
      <c r="BS171" s="1" t="s">
        <v>109</v>
      </c>
      <c r="BT171" s="12" t="s">
        <v>90</v>
      </c>
      <c r="BU171" s="1">
        <v>2</v>
      </c>
      <c r="BV171" s="1">
        <v>1</v>
      </c>
      <c r="CB171" s="1">
        <v>1.1200000000000001</v>
      </c>
      <c r="CE171" s="1">
        <v>1</v>
      </c>
      <c r="CF171" s="3">
        <v>41996</v>
      </c>
      <c r="CG171" s="7">
        <f>CF171-AJ171</f>
        <v>49</v>
      </c>
      <c r="CH171" s="1" t="s">
        <v>664</v>
      </c>
      <c r="CI171" s="17" t="s">
        <v>460</v>
      </c>
      <c r="CJ171" s="1" t="s">
        <v>703</v>
      </c>
      <c r="CK171" s="1" t="s">
        <v>702</v>
      </c>
      <c r="CL171" s="1" t="s">
        <v>701</v>
      </c>
      <c r="CM171" s="1">
        <v>0</v>
      </c>
      <c r="CO171" s="1" t="s">
        <v>650</v>
      </c>
      <c r="CQ171" s="1" t="s">
        <v>700</v>
      </c>
      <c r="CR171" s="1">
        <v>1.3</v>
      </c>
      <c r="CS171" s="1" t="s">
        <v>602</v>
      </c>
      <c r="CT171" s="1" t="s">
        <v>699</v>
      </c>
      <c r="CU171" s="1" t="s">
        <v>698</v>
      </c>
      <c r="CV171" s="1">
        <v>0</v>
      </c>
      <c r="CW171" s="1">
        <v>2</v>
      </c>
      <c r="CX171" s="1">
        <v>9.5</v>
      </c>
      <c r="CY171" s="1">
        <v>0.2</v>
      </c>
      <c r="CZ171" s="1">
        <v>0</v>
      </c>
      <c r="DA171" s="1">
        <v>16</v>
      </c>
      <c r="DB171" s="2">
        <f>CZ171/DA171*100</f>
        <v>0</v>
      </c>
      <c r="DC171" s="1">
        <v>0</v>
      </c>
      <c r="DD171" s="1">
        <v>0</v>
      </c>
      <c r="DE171" s="1">
        <v>0</v>
      </c>
      <c r="DF171" s="1">
        <v>0</v>
      </c>
      <c r="DH171" s="7">
        <v>0</v>
      </c>
      <c r="DI171" s="7">
        <v>0</v>
      </c>
      <c r="DJ171" s="3">
        <v>44285</v>
      </c>
      <c r="DK171" s="1" t="s">
        <v>697</v>
      </c>
      <c r="DL171" s="1">
        <f>(DJ171-I171)/365.25*12</f>
        <v>77.765913757700204</v>
      </c>
      <c r="DM171" s="1">
        <v>1</v>
      </c>
      <c r="DN171" s="1" t="s">
        <v>612</v>
      </c>
      <c r="DO171" s="3">
        <v>44042</v>
      </c>
      <c r="DP171" s="6" t="s">
        <v>645</v>
      </c>
      <c r="DQ171" s="7">
        <v>0</v>
      </c>
      <c r="DR171" s="3" t="s">
        <v>357</v>
      </c>
      <c r="DS171" s="10">
        <f>IF(DQ171=1, (DR171-$I171)/365.25*12, IF(DQ171=0, $DL171, "ERROR"))</f>
        <v>77.765913757700204</v>
      </c>
      <c r="DT171" s="7">
        <v>1</v>
      </c>
      <c r="DU171" s="7">
        <v>0</v>
      </c>
      <c r="DV171" s="7">
        <v>1</v>
      </c>
      <c r="DW171" s="16">
        <f>DU171*(1-DV171)</f>
        <v>0</v>
      </c>
      <c r="DX171" s="16">
        <f>(1-DU171)*DV171</f>
        <v>1</v>
      </c>
      <c r="DY171" s="16">
        <f>DU171*DV171</f>
        <v>0</v>
      </c>
      <c r="DZ171" s="3">
        <v>44042</v>
      </c>
      <c r="EA171" s="10">
        <f>IF(DT171=1, (DZ171-$I171)/365.25*12, IF(DT171=0, $DL171, "ERROR"))</f>
        <v>69.782340862422998</v>
      </c>
      <c r="EB171" s="7">
        <v>1</v>
      </c>
      <c r="EC171" s="7">
        <v>0</v>
      </c>
      <c r="ED171" s="16">
        <f>1-((1-DQ171)*(1-DT171))</f>
        <v>1</v>
      </c>
      <c r="EE171" s="11">
        <f>MIN(DR171,DZ171)</f>
        <v>44042</v>
      </c>
      <c r="EF171" s="1" t="s">
        <v>696</v>
      </c>
      <c r="EG171" s="7" t="s">
        <v>357</v>
      </c>
      <c r="EH171" s="1" t="s">
        <v>357</v>
      </c>
      <c r="EI171" s="7">
        <v>0</v>
      </c>
      <c r="EJ171" s="16">
        <f>(1-DQ171)*DX171*(1-EI171)</f>
        <v>1</v>
      </c>
      <c r="EK171" s="1" t="s">
        <v>357</v>
      </c>
      <c r="EL171" s="10">
        <f>IF(EI171=1, (EK171-$I171)/365.25*12, IF(EI171=0, $DL171, "ERROR"))</f>
        <v>77.765913757700204</v>
      </c>
      <c r="EM171" s="1" t="s">
        <v>357</v>
      </c>
      <c r="EN171" s="1">
        <v>0</v>
      </c>
      <c r="EO171" s="1">
        <v>0</v>
      </c>
      <c r="EP171" s="1">
        <v>0</v>
      </c>
      <c r="EQ171" s="1">
        <v>0</v>
      </c>
      <c r="ER171" s="1">
        <v>0</v>
      </c>
      <c r="ES171" s="1">
        <v>0</v>
      </c>
      <c r="ET171" s="1">
        <v>0</v>
      </c>
      <c r="EU171" s="1">
        <v>0</v>
      </c>
      <c r="EV171" s="1">
        <v>0</v>
      </c>
      <c r="EW171" s="1">
        <f>1-((1-EP171)*(1-ET171)*(1-EU171)*(1-EV171))</f>
        <v>0</v>
      </c>
      <c r="EX171" s="7">
        <v>0</v>
      </c>
      <c r="EY171" s="7">
        <v>0</v>
      </c>
      <c r="EZ171" s="7">
        <v>0</v>
      </c>
      <c r="FA171" s="7">
        <v>0</v>
      </c>
      <c r="FB171" s="1" t="s">
        <v>357</v>
      </c>
      <c r="FC171" s="1">
        <v>0</v>
      </c>
      <c r="FD171" s="1">
        <v>1</v>
      </c>
      <c r="FF171" s="1" t="s">
        <v>45</v>
      </c>
      <c r="FG171" s="3">
        <f>IF(FC171=1, FF171, IF(FD171=1, 44348, DJ171))</f>
        <v>44348</v>
      </c>
      <c r="FH171" s="13">
        <f>(FG171-I171)/365.25*12</f>
        <v>79.835728952772072</v>
      </c>
      <c r="FI171" s="13"/>
      <c r="FJ171" s="14">
        <f>IF(OR(DM171,FC171), 1, 0)</f>
        <v>1</v>
      </c>
      <c r="FK171" s="11">
        <f>IF(DM171=1,IF(FC171=1,MIN(DO171,FF171),DO171),IF(FC171=1,FF171,DJ171))</f>
        <v>44042</v>
      </c>
      <c r="FL171" s="13">
        <f>(FK171-$I171)/365.25*12</f>
        <v>69.782340862422998</v>
      </c>
      <c r="FM171" s="14">
        <f>IF(OR(ED171,FC171), 1, 0)</f>
        <v>1</v>
      </c>
      <c r="FN171" s="11">
        <f>IF(ED171=1,IF(FC171=1,MIN(EE171,FF171),EE171),IF(FC171=1,FF171,DJ171))</f>
        <v>44042</v>
      </c>
      <c r="FO171" s="13">
        <f>(FN171-$I171)/365.25*12</f>
        <v>69.782340862422998</v>
      </c>
      <c r="FP171" s="14">
        <f>IF(OR(EI171,FC171), 1, 0)</f>
        <v>0</v>
      </c>
      <c r="FQ171" s="11">
        <f>IF(EI171=1,IF(FC171=1,MIN(EK171,FF171),EK171),IF(FC171=1,FF171,DJ171))</f>
        <v>44285</v>
      </c>
      <c r="FR171" s="13">
        <f>(FQ171-$I171)/365.25*12</f>
        <v>77.765913757700204</v>
      </c>
      <c r="FU171" s="1">
        <v>1</v>
      </c>
      <c r="FV171" s="1">
        <v>1</v>
      </c>
      <c r="FW171" s="1">
        <v>0</v>
      </c>
      <c r="FX171" s="1">
        <v>1</v>
      </c>
    </row>
    <row r="172" spans="1:190" ht="12.75" hidden="1" customHeight="1">
      <c r="A172" s="1" t="s">
        <v>695</v>
      </c>
      <c r="B172" s="1" t="s">
        <v>694</v>
      </c>
      <c r="C172" s="23" t="s">
        <v>693</v>
      </c>
      <c r="D172" s="1">
        <v>0</v>
      </c>
      <c r="E172" s="1">
        <v>0</v>
      </c>
      <c r="G172" s="1">
        <v>2</v>
      </c>
      <c r="I172" s="3" t="s">
        <v>688</v>
      </c>
      <c r="J172" s="3">
        <v>42214</v>
      </c>
      <c r="K172" s="3">
        <v>14726</v>
      </c>
      <c r="L172" s="5">
        <f>(DAYS360(K172,I172))/365</f>
        <v>74.246575342465746</v>
      </c>
      <c r="M172" s="1" t="s">
        <v>370</v>
      </c>
      <c r="N172" s="1" t="s">
        <v>639</v>
      </c>
      <c r="O172" s="1">
        <v>0</v>
      </c>
      <c r="P172" s="1" t="s">
        <v>423</v>
      </c>
      <c r="R172" s="1" t="s">
        <v>18</v>
      </c>
      <c r="S172" s="1" t="s">
        <v>692</v>
      </c>
      <c r="T172" s="1" t="s">
        <v>384</v>
      </c>
      <c r="U172" s="1">
        <v>0</v>
      </c>
      <c r="V172" s="1">
        <v>1</v>
      </c>
      <c r="W172" s="1">
        <v>0</v>
      </c>
      <c r="X172" s="1" t="s">
        <v>691</v>
      </c>
      <c r="Y172" s="1" t="s">
        <v>636</v>
      </c>
      <c r="Z172" s="1" t="s">
        <v>690</v>
      </c>
      <c r="AA172" s="1" t="s">
        <v>366</v>
      </c>
      <c r="AC172" s="1">
        <v>3</v>
      </c>
      <c r="AD172" s="1" t="s">
        <v>689</v>
      </c>
      <c r="AE172" s="1" t="s">
        <v>622</v>
      </c>
      <c r="AF172" s="1">
        <v>0</v>
      </c>
      <c r="AG172" s="1">
        <v>0</v>
      </c>
      <c r="AH172" s="1">
        <v>0</v>
      </c>
      <c r="AI172" s="3" t="s">
        <v>688</v>
      </c>
      <c r="AJ172" s="3" t="s">
        <v>687</v>
      </c>
      <c r="AK172" s="6" t="s">
        <v>679</v>
      </c>
      <c r="AM172" s="1">
        <v>0</v>
      </c>
      <c r="AN172" s="1">
        <v>0</v>
      </c>
      <c r="AO172" s="1">
        <v>0</v>
      </c>
      <c r="AP172" s="1">
        <v>0</v>
      </c>
      <c r="AQ172" s="1">
        <v>0</v>
      </c>
      <c r="AR172" s="1">
        <v>0</v>
      </c>
      <c r="AS172" s="1"/>
      <c r="AT172" s="1"/>
      <c r="AU172" s="6" t="s">
        <v>679</v>
      </c>
      <c r="BA172" s="1">
        <f>19*0.5</f>
        <v>9.5</v>
      </c>
      <c r="BB172" s="1">
        <v>263.77999999999997</v>
      </c>
      <c r="BE172" s="1">
        <v>510.32</v>
      </c>
      <c r="BG172" s="1">
        <v>40</v>
      </c>
      <c r="BH172" s="1">
        <v>40</v>
      </c>
      <c r="BI172" s="1">
        <v>0</v>
      </c>
      <c r="BJ172" s="1">
        <v>0</v>
      </c>
      <c r="BK172" s="1">
        <f>BH172+BI172</f>
        <v>40</v>
      </c>
      <c r="BL172" s="1">
        <v>20</v>
      </c>
      <c r="BM172" s="1">
        <v>2</v>
      </c>
      <c r="BN172" s="1" t="s">
        <v>110</v>
      </c>
      <c r="BO172" s="1">
        <v>0</v>
      </c>
      <c r="BP172" s="1">
        <v>1</v>
      </c>
      <c r="BQ172" s="1">
        <v>1</v>
      </c>
      <c r="BR172" s="3">
        <v>42221</v>
      </c>
      <c r="BS172" s="1" t="s">
        <v>109</v>
      </c>
      <c r="BT172" s="12" t="s">
        <v>90</v>
      </c>
      <c r="BU172" s="1">
        <v>2</v>
      </c>
      <c r="BV172" s="1">
        <v>1</v>
      </c>
      <c r="BW172" s="1">
        <v>4.62</v>
      </c>
      <c r="BZ172" s="1">
        <v>11.9</v>
      </c>
      <c r="CA172" s="1">
        <v>164</v>
      </c>
      <c r="CB172" s="1">
        <v>1.55</v>
      </c>
      <c r="CE172" s="1">
        <v>0</v>
      </c>
      <c r="CF172" s="1" t="s">
        <v>357</v>
      </c>
      <c r="CH172" s="1" t="s">
        <v>357</v>
      </c>
      <c r="CI172" s="1" t="s">
        <v>45</v>
      </c>
      <c r="CJ172" s="1" t="s">
        <v>357</v>
      </c>
      <c r="CK172" s="1" t="s">
        <v>357</v>
      </c>
      <c r="CL172" s="1" t="s">
        <v>357</v>
      </c>
      <c r="CM172" s="1" t="s">
        <v>357</v>
      </c>
      <c r="CO172" s="1" t="s">
        <v>357</v>
      </c>
      <c r="CQ172" s="1" t="s">
        <v>357</v>
      </c>
      <c r="CR172" s="1" t="s">
        <v>357</v>
      </c>
      <c r="CS172" s="1" t="s">
        <v>357</v>
      </c>
      <c r="CT172" s="1" t="s">
        <v>357</v>
      </c>
      <c r="CU172" s="1" t="s">
        <v>357</v>
      </c>
      <c r="CV172" s="1" t="s">
        <v>357</v>
      </c>
      <c r="CW172" s="1" t="s">
        <v>357</v>
      </c>
      <c r="CX172" s="1" t="s">
        <v>357</v>
      </c>
      <c r="CY172" s="1" t="s">
        <v>357</v>
      </c>
      <c r="CZ172" s="1" t="s">
        <v>357</v>
      </c>
      <c r="DA172" s="1" t="s">
        <v>357</v>
      </c>
      <c r="DB172" s="2" t="s">
        <v>357</v>
      </c>
      <c r="DC172" s="1" t="s">
        <v>357</v>
      </c>
      <c r="DD172" s="1" t="s">
        <v>357</v>
      </c>
      <c r="DE172" s="1" t="s">
        <v>357</v>
      </c>
      <c r="DF172" s="1" t="s">
        <v>357</v>
      </c>
      <c r="DG172" s="1" t="s">
        <v>357</v>
      </c>
      <c r="DH172" s="7">
        <v>0</v>
      </c>
      <c r="DI172" s="7">
        <v>0</v>
      </c>
      <c r="DJ172" s="3">
        <v>42263</v>
      </c>
      <c r="DK172" s="1" t="s">
        <v>686</v>
      </c>
      <c r="DL172" s="1">
        <f>(DJ172-I172)/365.25*12</f>
        <v>1.3798767967145791</v>
      </c>
      <c r="DM172" s="1">
        <v>0</v>
      </c>
      <c r="DN172" s="1" t="s">
        <v>357</v>
      </c>
      <c r="DO172" s="1" t="s">
        <v>357</v>
      </c>
      <c r="DP172" s="6" t="s">
        <v>357</v>
      </c>
      <c r="DQ172" s="7">
        <v>0</v>
      </c>
      <c r="DR172" s="3" t="s">
        <v>357</v>
      </c>
      <c r="DS172" s="3"/>
      <c r="DT172" s="7">
        <v>0</v>
      </c>
      <c r="DU172" s="7">
        <v>0</v>
      </c>
      <c r="DV172" s="7">
        <v>0</v>
      </c>
      <c r="DW172" s="16">
        <f>DU172*(1-DV172)</f>
        <v>0</v>
      </c>
      <c r="DX172" s="16">
        <f>(1-DU172)*DV172</f>
        <v>0</v>
      </c>
      <c r="DY172" s="16">
        <f>DU172*DV172</f>
        <v>0</v>
      </c>
      <c r="DZ172" s="3" t="s">
        <v>357</v>
      </c>
      <c r="EB172" s="7">
        <v>0</v>
      </c>
      <c r="EC172" s="7">
        <v>0</v>
      </c>
      <c r="ED172" s="16">
        <f>1-((1-DQ172)*(1-DT172))</f>
        <v>0</v>
      </c>
      <c r="EE172" s="11" t="s">
        <v>45</v>
      </c>
      <c r="EF172" s="1" t="s">
        <v>357</v>
      </c>
      <c r="EG172" s="7" t="s">
        <v>357</v>
      </c>
      <c r="EH172" s="1" t="s">
        <v>357</v>
      </c>
      <c r="EI172" s="7">
        <v>0</v>
      </c>
      <c r="EJ172" s="16">
        <f>(1-DQ172)*DX172*(1-EI172)</f>
        <v>0</v>
      </c>
      <c r="EK172" s="1" t="s">
        <v>357</v>
      </c>
      <c r="EM172" s="1" t="s">
        <v>357</v>
      </c>
      <c r="EN172" s="1"/>
      <c r="EO172" s="1"/>
      <c r="EP172" s="1"/>
      <c r="EQ172" s="1"/>
      <c r="ER172" s="1"/>
      <c r="ES172" s="1"/>
      <c r="ET172" s="1"/>
      <c r="EU172" s="1"/>
      <c r="EV172" s="1"/>
      <c r="EW172" s="1"/>
      <c r="EX172" s="7">
        <v>0</v>
      </c>
      <c r="FB172" s="1" t="s">
        <v>357</v>
      </c>
      <c r="FC172" s="1">
        <v>1</v>
      </c>
      <c r="FD172" s="1">
        <v>1</v>
      </c>
      <c r="FF172" s="3">
        <v>42842</v>
      </c>
      <c r="FG172" s="3">
        <f>IF(FC172=1, FF172, IF(FD172=1, 44348, DJ172))</f>
        <v>42842</v>
      </c>
      <c r="FH172" s="13">
        <f>(FG172-I172)/365.25*12</f>
        <v>20.402464065708422</v>
      </c>
      <c r="FI172" s="13"/>
      <c r="FJ172" s="14">
        <f>IF(OR(DM172,FC172), 1, 0)</f>
        <v>1</v>
      </c>
      <c r="FK172" s="11">
        <f>IF(DM172=1,IF(FC172=1,MIN(DO172,FF172),DO172),IF(FC172=1,FF172,DJ172))</f>
        <v>42842</v>
      </c>
      <c r="FL172" s="13">
        <f>(FK172-$I172)/365.25*12</f>
        <v>20.402464065708422</v>
      </c>
      <c r="FM172" s="14">
        <f>IF(OR(ED172,FC172), 1, 0)</f>
        <v>1</v>
      </c>
      <c r="FN172" s="11">
        <f>IF(ED172=1,IF(FC172=1,MIN(EE172,FF172),EE172),IF(FC172=1,FF172,DJ172))</f>
        <v>42842</v>
      </c>
      <c r="FO172" s="13">
        <f>(FN172-$I172)/365.25*12</f>
        <v>20.402464065708422</v>
      </c>
      <c r="FP172" s="14">
        <f>IF(OR(EI172,FC172), 1, 0)</f>
        <v>1</v>
      </c>
      <c r="FQ172" s="11">
        <f>IF(EI172=1,IF(FC172=1,MIN(EK172,FF172),EK172),IF(FC172=1,FF172,DJ172))</f>
        <v>42842</v>
      </c>
      <c r="FR172" s="13">
        <f>(FQ172-$I172)/365.25*12</f>
        <v>20.402464065708422</v>
      </c>
      <c r="FU172" s="1">
        <v>0</v>
      </c>
      <c r="FV172" s="1">
        <v>0</v>
      </c>
      <c r="FW172" s="1">
        <v>0</v>
      </c>
      <c r="FX172" s="1">
        <v>0</v>
      </c>
    </row>
    <row r="173" spans="1:190" ht="12.75" hidden="1" customHeight="1">
      <c r="A173" s="1" t="s">
        <v>685</v>
      </c>
      <c r="B173" s="1" t="s">
        <v>684</v>
      </c>
      <c r="C173" s="23" t="s">
        <v>683</v>
      </c>
      <c r="D173" s="1">
        <v>0</v>
      </c>
      <c r="E173" s="1">
        <v>0</v>
      </c>
      <c r="G173" s="1">
        <v>2</v>
      </c>
      <c r="I173" s="3">
        <v>42226</v>
      </c>
      <c r="J173" s="3">
        <v>42199</v>
      </c>
      <c r="K173" s="3">
        <v>14230</v>
      </c>
      <c r="L173" s="5">
        <f>(DAYS360(K173,I173))/365</f>
        <v>75.599999999999994</v>
      </c>
      <c r="M173" s="1" t="s">
        <v>370</v>
      </c>
      <c r="N173" s="1" t="s">
        <v>639</v>
      </c>
      <c r="O173" s="1">
        <v>0</v>
      </c>
      <c r="P173" s="1" t="s">
        <v>682</v>
      </c>
      <c r="Q173" s="1">
        <v>1</v>
      </c>
      <c r="R173" s="1" t="s">
        <v>18</v>
      </c>
      <c r="S173" s="1">
        <v>30</v>
      </c>
      <c r="T173" s="1" t="s">
        <v>368</v>
      </c>
      <c r="U173" s="1">
        <v>0</v>
      </c>
      <c r="V173" s="1">
        <v>0</v>
      </c>
      <c r="W173" s="1">
        <v>1</v>
      </c>
      <c r="X173" s="1" t="s">
        <v>637</v>
      </c>
      <c r="Y173" s="1">
        <v>3</v>
      </c>
      <c r="Z173" s="1">
        <v>0</v>
      </c>
      <c r="AA173" s="1" t="s">
        <v>382</v>
      </c>
      <c r="AC173" s="1">
        <v>2</v>
      </c>
      <c r="AD173" s="1" t="s">
        <v>634</v>
      </c>
      <c r="AE173" s="1" t="s">
        <v>634</v>
      </c>
      <c r="AF173" s="1">
        <v>0</v>
      </c>
      <c r="AG173" s="1">
        <v>0</v>
      </c>
      <c r="AH173" s="1">
        <v>0</v>
      </c>
      <c r="AI173" s="3" t="s">
        <v>681</v>
      </c>
      <c r="AJ173" s="3" t="s">
        <v>680</v>
      </c>
      <c r="AK173" s="6" t="s">
        <v>679</v>
      </c>
      <c r="AM173" s="1">
        <v>0</v>
      </c>
      <c r="AN173" s="1">
        <v>0</v>
      </c>
      <c r="AO173" s="1">
        <v>0</v>
      </c>
      <c r="AP173" s="1">
        <v>0</v>
      </c>
      <c r="AQ173" s="1">
        <v>0</v>
      </c>
      <c r="AR173" s="1">
        <v>0</v>
      </c>
      <c r="AS173" s="1">
        <v>0</v>
      </c>
      <c r="AT173" s="1">
        <v>0</v>
      </c>
      <c r="AU173" s="6" t="s">
        <v>679</v>
      </c>
      <c r="BA173" s="1">
        <f>18*0.5</f>
        <v>9</v>
      </c>
      <c r="BB173" s="1">
        <v>320.7</v>
      </c>
      <c r="BE173" s="1">
        <v>532.07000000000005</v>
      </c>
      <c r="BG173" s="1">
        <v>40</v>
      </c>
      <c r="BH173" s="1">
        <v>40</v>
      </c>
      <c r="BI173" s="1">
        <v>0</v>
      </c>
      <c r="BJ173" s="1">
        <v>0</v>
      </c>
      <c r="BK173" s="1">
        <f>BH173+BI173</f>
        <v>40</v>
      </c>
      <c r="BL173" s="1">
        <v>20</v>
      </c>
      <c r="BM173" s="1">
        <v>2</v>
      </c>
      <c r="BN173" s="1" t="s">
        <v>359</v>
      </c>
      <c r="BO173" s="1">
        <v>0</v>
      </c>
      <c r="BP173" s="1">
        <v>1</v>
      </c>
      <c r="BQ173" s="1">
        <v>1</v>
      </c>
      <c r="BR173" s="3">
        <v>42226</v>
      </c>
      <c r="BS173" s="1" t="s">
        <v>109</v>
      </c>
      <c r="BT173" s="12" t="s">
        <v>90</v>
      </c>
      <c r="BU173" s="1">
        <v>1</v>
      </c>
      <c r="BV173" s="1">
        <v>0</v>
      </c>
      <c r="CB173" s="1">
        <v>1.67</v>
      </c>
      <c r="CE173" s="1">
        <v>1</v>
      </c>
      <c r="CF173" s="3">
        <v>42318</v>
      </c>
      <c r="CG173" s="7">
        <f>CF173-AJ173</f>
        <v>63</v>
      </c>
      <c r="CH173" s="1" t="s">
        <v>678</v>
      </c>
      <c r="CI173" s="17" t="s">
        <v>460</v>
      </c>
      <c r="CJ173" s="1" t="s">
        <v>606</v>
      </c>
      <c r="CK173" s="1" t="s">
        <v>663</v>
      </c>
      <c r="CL173" s="1" t="s">
        <v>357</v>
      </c>
      <c r="CM173" s="1">
        <v>1</v>
      </c>
      <c r="CO173" s="1" t="s">
        <v>662</v>
      </c>
      <c r="CQ173" s="1" t="s">
        <v>357</v>
      </c>
      <c r="CR173" s="1">
        <v>0</v>
      </c>
      <c r="CS173" s="1" t="s">
        <v>357</v>
      </c>
      <c r="CT173" s="1" t="s">
        <v>357</v>
      </c>
      <c r="CU173" s="1" t="s">
        <v>357</v>
      </c>
      <c r="CV173" s="1">
        <v>0</v>
      </c>
      <c r="CW173" s="1" t="s">
        <v>357</v>
      </c>
      <c r="CX173" s="1" t="s">
        <v>357</v>
      </c>
      <c r="CY173" s="1" t="s">
        <v>357</v>
      </c>
      <c r="CZ173" s="1">
        <v>0</v>
      </c>
      <c r="DA173" s="1">
        <v>23</v>
      </c>
      <c r="DB173" s="2">
        <f>CZ173/DA173*100</f>
        <v>0</v>
      </c>
      <c r="DC173" s="1">
        <v>0</v>
      </c>
      <c r="DD173" s="1">
        <v>0</v>
      </c>
      <c r="DE173" s="1">
        <v>0</v>
      </c>
      <c r="DF173" s="1">
        <v>1</v>
      </c>
      <c r="DH173" s="7">
        <v>0</v>
      </c>
      <c r="DI173" s="7">
        <v>0</v>
      </c>
      <c r="DJ173" s="3">
        <v>42810</v>
      </c>
      <c r="DK173" s="1" t="s">
        <v>677</v>
      </c>
      <c r="DL173" s="1">
        <f>(DJ173-I173)/365.25*12</f>
        <v>19.186858316221766</v>
      </c>
      <c r="DM173" s="1">
        <v>1</v>
      </c>
      <c r="DN173" s="1" t="s">
        <v>676</v>
      </c>
      <c r="DO173" s="3">
        <v>42712</v>
      </c>
      <c r="DP173" s="6" t="s">
        <v>451</v>
      </c>
      <c r="DQ173" s="7">
        <v>1</v>
      </c>
      <c r="DR173" s="3">
        <v>42712</v>
      </c>
      <c r="DS173" s="10">
        <f>IF(DQ173=1, (DR173-$I173)/365.25*12, IF(DQ173=0, $DL173, "ERROR"))</f>
        <v>15.967145790554415</v>
      </c>
      <c r="DT173" s="7">
        <v>1</v>
      </c>
      <c r="DU173" s="7">
        <v>1</v>
      </c>
      <c r="DV173" s="7">
        <v>0</v>
      </c>
      <c r="DW173" s="16">
        <f>DU173*(1-DV173)</f>
        <v>1</v>
      </c>
      <c r="DX173" s="16">
        <f>(1-DU173)*DV173</f>
        <v>0</v>
      </c>
      <c r="DY173" s="16">
        <f>DU173*DV173</f>
        <v>0</v>
      </c>
      <c r="DZ173" s="3">
        <v>42712</v>
      </c>
      <c r="EA173" s="10">
        <f>IF(DT173=1, (DZ173-$I173)/365.25*12, IF(DT173=0, $DL173, "ERROR"))</f>
        <v>15.967145790554415</v>
      </c>
      <c r="EB173" s="7">
        <v>1</v>
      </c>
      <c r="EC173" s="7">
        <v>0</v>
      </c>
      <c r="ED173" s="16">
        <f>1-((1-DQ173)*(1-DT173))</f>
        <v>1</v>
      </c>
      <c r="EE173" s="11">
        <f>MIN(DR173,DZ173)</f>
        <v>42712</v>
      </c>
      <c r="EF173" s="1" t="s">
        <v>675</v>
      </c>
      <c r="EG173" s="7" t="s">
        <v>357</v>
      </c>
      <c r="EH173" s="1" t="s">
        <v>357</v>
      </c>
      <c r="EI173" s="7">
        <v>0</v>
      </c>
      <c r="EJ173" s="16">
        <f>(1-DQ173)*DX173*(1-EI173)</f>
        <v>0</v>
      </c>
      <c r="EK173" s="1" t="s">
        <v>357</v>
      </c>
      <c r="EL173" s="10">
        <f>IF(EI173=1, (EK173-$I173)/365.25*12, IF(EI173=0, $DL173, "ERROR"))</f>
        <v>19.186858316221766</v>
      </c>
      <c r="EM173" s="1" t="s">
        <v>357</v>
      </c>
      <c r="EN173" s="1">
        <v>0</v>
      </c>
      <c r="EO173" s="1">
        <v>0</v>
      </c>
      <c r="EP173" s="1">
        <v>0</v>
      </c>
      <c r="EQ173" s="1">
        <v>0</v>
      </c>
      <c r="ER173" s="1">
        <v>0</v>
      </c>
      <c r="ES173" s="1">
        <v>0</v>
      </c>
      <c r="ET173" s="1">
        <v>0</v>
      </c>
      <c r="EU173" s="1">
        <v>0</v>
      </c>
      <c r="EV173" s="1">
        <v>0</v>
      </c>
      <c r="EW173" s="1">
        <f>1-((1-EP173)*(1-ET173)*(1-EU173)*(1-EV173))</f>
        <v>0</v>
      </c>
      <c r="EX173" s="7">
        <v>0</v>
      </c>
      <c r="EY173" s="7">
        <v>0</v>
      </c>
      <c r="EZ173" s="7">
        <v>0</v>
      </c>
      <c r="FA173" s="7">
        <v>0</v>
      </c>
      <c r="FB173" s="1" t="s">
        <v>357</v>
      </c>
      <c r="FC173" s="1">
        <v>1</v>
      </c>
      <c r="FD173" s="1">
        <v>1</v>
      </c>
      <c r="FF173" s="3">
        <v>42886</v>
      </c>
      <c r="FG173" s="3">
        <f>IF(FC173=1, FF173, IF(FD173=1, 44348, DJ173))</f>
        <v>42886</v>
      </c>
      <c r="FH173" s="13">
        <f>(FG173-I173)/365.25*12</f>
        <v>21.68377823408624</v>
      </c>
      <c r="FI173" s="13"/>
      <c r="FJ173" s="14">
        <f>IF(OR(DM173,FC173), 1, 0)</f>
        <v>1</v>
      </c>
      <c r="FK173" s="11">
        <f>IF(DM173=1,IF(FC173=1,MIN(DO173,FF173),DO173),IF(FC173=1,FF173,DJ173))</f>
        <v>42712</v>
      </c>
      <c r="FL173" s="13">
        <f>(FK173-$I173)/365.25*12</f>
        <v>15.967145790554415</v>
      </c>
      <c r="FM173" s="14">
        <f>IF(OR(ED173,FC173), 1, 0)</f>
        <v>1</v>
      </c>
      <c r="FN173" s="11">
        <f>IF(ED173=1,IF(FC173=1,MIN(EE173,FF173),EE173),IF(FC173=1,FF173,DJ173))</f>
        <v>42712</v>
      </c>
      <c r="FO173" s="13">
        <f>(FN173-$I173)/365.25*12</f>
        <v>15.967145790554415</v>
      </c>
      <c r="FP173" s="14">
        <f>IF(OR(EI173,FC173), 1, 0)</f>
        <v>1</v>
      </c>
      <c r="FQ173" s="11">
        <f>IF(EI173=1,IF(FC173=1,MIN(EK173,FF173),EK173),IF(FC173=1,FF173,DJ173))</f>
        <v>42886</v>
      </c>
      <c r="FR173" s="13">
        <f>(FQ173-$I173)/365.25*12</f>
        <v>21.68377823408624</v>
      </c>
      <c r="FU173" s="1">
        <v>1</v>
      </c>
      <c r="FV173" s="1">
        <v>1</v>
      </c>
      <c r="FW173" s="1">
        <v>0</v>
      </c>
      <c r="FX173" s="1">
        <v>1</v>
      </c>
    </row>
    <row r="174" spans="1:190" ht="12.75" hidden="1" customHeight="1">
      <c r="A174" s="1" t="s">
        <v>674</v>
      </c>
      <c r="B174" s="1" t="s">
        <v>673</v>
      </c>
      <c r="C174" s="23" t="s">
        <v>672</v>
      </c>
      <c r="D174" s="1">
        <v>0</v>
      </c>
      <c r="E174" s="1">
        <v>0</v>
      </c>
      <c r="G174" s="1">
        <v>2</v>
      </c>
      <c r="I174" s="3" t="s">
        <v>671</v>
      </c>
      <c r="J174" s="3">
        <v>42590</v>
      </c>
      <c r="K174" s="3">
        <v>21074</v>
      </c>
      <c r="L174" s="5">
        <f>(DAYS360(K174,I174))/365</f>
        <v>58.112328767123287</v>
      </c>
      <c r="M174" s="1" t="s">
        <v>370</v>
      </c>
      <c r="N174" s="1" t="s">
        <v>639</v>
      </c>
      <c r="O174" s="1">
        <v>0</v>
      </c>
      <c r="P174" s="1" t="s">
        <v>357</v>
      </c>
      <c r="R174" s="1" t="s">
        <v>18</v>
      </c>
      <c r="S174" s="1" t="s">
        <v>670</v>
      </c>
      <c r="T174" s="1" t="s">
        <v>368</v>
      </c>
      <c r="U174" s="1">
        <v>0</v>
      </c>
      <c r="V174" s="1">
        <v>0</v>
      </c>
      <c r="W174" s="1">
        <v>1</v>
      </c>
      <c r="X174" s="1" t="s">
        <v>669</v>
      </c>
      <c r="Y174" s="1">
        <v>3</v>
      </c>
      <c r="Z174" s="1">
        <v>2</v>
      </c>
      <c r="AA174" s="1" t="s">
        <v>366</v>
      </c>
      <c r="AC174" s="1">
        <v>3</v>
      </c>
      <c r="AD174" s="1" t="s">
        <v>668</v>
      </c>
      <c r="AE174" s="1" t="s">
        <v>611</v>
      </c>
      <c r="AF174" s="1">
        <v>0</v>
      </c>
      <c r="AG174" s="1">
        <v>0</v>
      </c>
      <c r="AH174" s="1">
        <v>0</v>
      </c>
      <c r="AI174" s="3" t="s">
        <v>667</v>
      </c>
      <c r="AJ174" s="3" t="s">
        <v>666</v>
      </c>
      <c r="AK174" s="6" t="s">
        <v>652</v>
      </c>
      <c r="AL174" s="6" t="s">
        <v>652</v>
      </c>
      <c r="AM174" s="1">
        <v>0</v>
      </c>
      <c r="AN174" s="1">
        <v>0</v>
      </c>
      <c r="AO174" s="1">
        <v>0</v>
      </c>
      <c r="AP174" s="1">
        <v>0</v>
      </c>
      <c r="AQ174" s="1">
        <v>1</v>
      </c>
      <c r="AR174" s="1">
        <v>1</v>
      </c>
      <c r="AS174" s="12">
        <f>IF(AND(AM174=0,AU174&lt;=2), 1, 0)</f>
        <v>1</v>
      </c>
      <c r="AT174" s="12">
        <v>1</v>
      </c>
      <c r="AU174" s="1">
        <v>0.5</v>
      </c>
      <c r="AV174" s="1">
        <v>0.5</v>
      </c>
      <c r="AW174" s="1">
        <v>0.5</v>
      </c>
      <c r="AX174" s="6" t="s">
        <v>357</v>
      </c>
      <c r="AY174" s="6" t="s">
        <v>357</v>
      </c>
      <c r="AZ174" s="6" t="s">
        <v>665</v>
      </c>
      <c r="BA174" s="1">
        <f>17*0.5</f>
        <v>8.5</v>
      </c>
      <c r="BB174" s="1">
        <v>174.73</v>
      </c>
      <c r="BE174" s="1">
        <v>318.29000000000002</v>
      </c>
      <c r="BG174" s="1">
        <v>44</v>
      </c>
      <c r="BH174" s="1">
        <v>44</v>
      </c>
      <c r="BI174" s="1">
        <v>0</v>
      </c>
      <c r="BJ174" s="1">
        <v>0</v>
      </c>
      <c r="BK174" s="1">
        <f>BH174+BI174</f>
        <v>44</v>
      </c>
      <c r="BL174" s="1">
        <v>22</v>
      </c>
      <c r="BM174" s="1">
        <v>2</v>
      </c>
      <c r="BN174" s="1" t="s">
        <v>110</v>
      </c>
      <c r="BO174" s="1">
        <v>0</v>
      </c>
      <c r="BP174" s="1">
        <v>1</v>
      </c>
      <c r="BQ174" s="1">
        <v>1</v>
      </c>
      <c r="BR174" s="3">
        <v>42604</v>
      </c>
      <c r="BS174" s="1" t="s">
        <v>91</v>
      </c>
      <c r="BT174" s="12" t="s">
        <v>90</v>
      </c>
      <c r="BU174" s="1">
        <v>2</v>
      </c>
      <c r="BV174" s="1">
        <v>1</v>
      </c>
      <c r="BW174" s="1">
        <v>13.07</v>
      </c>
      <c r="BZ174" s="1">
        <v>15.8</v>
      </c>
      <c r="CA174" s="1">
        <v>339</v>
      </c>
      <c r="CB174" s="1">
        <v>1.67</v>
      </c>
      <c r="CE174" s="1">
        <v>1</v>
      </c>
      <c r="CF174" s="3">
        <v>42675</v>
      </c>
      <c r="CG174" s="7">
        <f>CF174-AJ174</f>
        <v>36</v>
      </c>
      <c r="CH174" s="1" t="s">
        <v>664</v>
      </c>
      <c r="CI174" s="17" t="s">
        <v>460</v>
      </c>
      <c r="CJ174" s="1" t="s">
        <v>606</v>
      </c>
      <c r="CK174" s="1" t="s">
        <v>663</v>
      </c>
      <c r="CL174" s="1" t="s">
        <v>357</v>
      </c>
      <c r="CM174" s="1">
        <v>1</v>
      </c>
      <c r="CO174" s="1" t="s">
        <v>662</v>
      </c>
      <c r="CQ174" s="1" t="s">
        <v>357</v>
      </c>
      <c r="CR174" s="1">
        <v>0</v>
      </c>
      <c r="CS174" s="1" t="s">
        <v>357</v>
      </c>
      <c r="CT174" s="1" t="s">
        <v>357</v>
      </c>
      <c r="CU174" s="1" t="s">
        <v>357</v>
      </c>
      <c r="CV174" s="1">
        <v>0</v>
      </c>
      <c r="CW174" s="1" t="s">
        <v>357</v>
      </c>
      <c r="CX174" s="1" t="s">
        <v>357</v>
      </c>
      <c r="CY174" s="1" t="s">
        <v>357</v>
      </c>
      <c r="CZ174" s="1">
        <v>0</v>
      </c>
      <c r="DA174" s="1">
        <v>30</v>
      </c>
      <c r="DB174" s="2">
        <f>CZ174/DA174*100</f>
        <v>0</v>
      </c>
      <c r="DC174" s="1">
        <v>0</v>
      </c>
      <c r="DD174" s="1">
        <v>0</v>
      </c>
      <c r="DE174" s="1">
        <v>0</v>
      </c>
      <c r="DF174" s="1" t="s">
        <v>357</v>
      </c>
      <c r="DH174" s="7">
        <v>0</v>
      </c>
      <c r="DI174" s="7">
        <v>0</v>
      </c>
      <c r="DJ174" s="3">
        <v>43347</v>
      </c>
      <c r="DK174" s="1" t="s">
        <v>661</v>
      </c>
      <c r="DL174" s="1">
        <f>(DJ174-I174)/365.25*12</f>
        <v>24.739219712525667</v>
      </c>
      <c r="DM174" s="1">
        <v>0</v>
      </c>
      <c r="DN174" s="1" t="s">
        <v>357</v>
      </c>
      <c r="DO174" s="1" t="s">
        <v>357</v>
      </c>
      <c r="DP174" s="6" t="s">
        <v>357</v>
      </c>
      <c r="DQ174" s="7">
        <v>0</v>
      </c>
      <c r="DR174" s="3" t="s">
        <v>357</v>
      </c>
      <c r="DS174" s="10">
        <f>IF(DQ174=1, (DR174-$I174)/365.25*12, IF(DQ174=0, $DL174, "ERROR"))</f>
        <v>24.739219712525667</v>
      </c>
      <c r="DT174" s="7">
        <v>0</v>
      </c>
      <c r="DU174" s="7">
        <v>0</v>
      </c>
      <c r="DV174" s="7">
        <v>0</v>
      </c>
      <c r="DW174" s="16">
        <f>DU174*(1-DV174)</f>
        <v>0</v>
      </c>
      <c r="DX174" s="16">
        <f>(1-DU174)*DV174</f>
        <v>0</v>
      </c>
      <c r="DY174" s="16">
        <f>DU174*DV174</f>
        <v>0</v>
      </c>
      <c r="DZ174" s="3" t="s">
        <v>357</v>
      </c>
      <c r="EA174" s="10">
        <f>IF(DT174=1, (DZ174-$I174)/365.25*12, IF(DT174=0, $DL174, "ERROR"))</f>
        <v>24.739219712525667</v>
      </c>
      <c r="EB174" s="7">
        <v>0</v>
      </c>
      <c r="EC174" s="7">
        <v>0</v>
      </c>
      <c r="ED174" s="16">
        <f>1-((1-DQ174)*(1-DT174))</f>
        <v>0</v>
      </c>
      <c r="EE174" s="11" t="s">
        <v>45</v>
      </c>
      <c r="EF174" s="1" t="s">
        <v>357</v>
      </c>
      <c r="EG174" s="7" t="s">
        <v>357</v>
      </c>
      <c r="EH174" s="1" t="s">
        <v>357</v>
      </c>
      <c r="EI174" s="7">
        <v>0</v>
      </c>
      <c r="EJ174" s="16">
        <f>(1-DQ174)*DX174*(1-EI174)</f>
        <v>0</v>
      </c>
      <c r="EK174" s="1" t="s">
        <v>357</v>
      </c>
      <c r="EL174" s="10">
        <f>IF(EI174=1, (EK174-$I174)/365.25*12, IF(EI174=0, $DL174, "ERROR"))</f>
        <v>24.739219712525667</v>
      </c>
      <c r="EM174" s="1" t="s">
        <v>357</v>
      </c>
      <c r="EN174" s="1">
        <v>0</v>
      </c>
      <c r="EO174" s="1">
        <v>0</v>
      </c>
      <c r="EP174" s="1">
        <v>0</v>
      </c>
      <c r="EQ174" s="1">
        <v>0</v>
      </c>
      <c r="ER174" s="1">
        <v>0</v>
      </c>
      <c r="ES174" s="1">
        <v>0</v>
      </c>
      <c r="ET174" s="1">
        <v>0</v>
      </c>
      <c r="EU174" s="1">
        <v>0</v>
      </c>
      <c r="EV174" s="1">
        <v>0</v>
      </c>
      <c r="EW174" s="1">
        <f>1-((1-EP174)*(1-ET174)*(1-EU174)*(1-EV174))</f>
        <v>0</v>
      </c>
      <c r="EX174" s="7">
        <v>0</v>
      </c>
      <c r="EY174" s="7">
        <v>0</v>
      </c>
      <c r="EZ174" s="7">
        <v>0</v>
      </c>
      <c r="FA174" s="7">
        <v>0</v>
      </c>
      <c r="FB174" s="1" t="s">
        <v>357</v>
      </c>
      <c r="FC174" s="1">
        <v>1</v>
      </c>
      <c r="FD174" s="1">
        <v>1</v>
      </c>
      <c r="FF174" s="3">
        <v>43433</v>
      </c>
      <c r="FG174" s="3">
        <f>IF(FC174=1, FF174, IF(FD174=1, 44348, DJ174))</f>
        <v>43433</v>
      </c>
      <c r="FH174" s="13">
        <f>(FG174-I174)/365.25*12</f>
        <v>27.564681724845997</v>
      </c>
      <c r="FI174" s="13"/>
      <c r="FJ174" s="14">
        <f>IF(OR(DM174,FC174), 1, 0)</f>
        <v>1</v>
      </c>
      <c r="FK174" s="11">
        <f>IF(DM174=1,IF(FC174=1,MIN(DO174,FF174),DO174),IF(FC174=1,FF174,DJ174))</f>
        <v>43433</v>
      </c>
      <c r="FL174" s="13">
        <f>(FK174-$I174)/365.25*12</f>
        <v>27.564681724845997</v>
      </c>
      <c r="FM174" s="14">
        <f>IF(OR(ED174,FC174), 1, 0)</f>
        <v>1</v>
      </c>
      <c r="FN174" s="11">
        <f>IF(ED174=1,IF(FC174=1,MIN(EE174,FF174),EE174),IF(FC174=1,FF174,DJ174))</f>
        <v>43433</v>
      </c>
      <c r="FO174" s="13">
        <f>(FN174-$I174)/365.25*12</f>
        <v>27.564681724845997</v>
      </c>
      <c r="FP174" s="14">
        <f>IF(OR(EI174,FC174), 1, 0)</f>
        <v>1</v>
      </c>
      <c r="FQ174" s="11">
        <f>IF(EI174=1,IF(FC174=1,MIN(EK174,FF174),EK174),IF(FC174=1,FF174,DJ174))</f>
        <v>43433</v>
      </c>
      <c r="FR174" s="13">
        <f>(FQ174-$I174)/365.25*12</f>
        <v>27.564681724845997</v>
      </c>
      <c r="FU174" s="1">
        <v>1</v>
      </c>
      <c r="FV174" s="1">
        <v>1</v>
      </c>
      <c r="FW174" s="1">
        <v>0</v>
      </c>
      <c r="FX174" s="1">
        <v>0</v>
      </c>
      <c r="FY174" s="1" t="s">
        <v>660</v>
      </c>
    </row>
    <row r="175" spans="1:190" ht="12.75" hidden="1" customHeight="1">
      <c r="A175" s="1" t="s">
        <v>659</v>
      </c>
      <c r="B175" s="1" t="s">
        <v>658</v>
      </c>
      <c r="C175" s="23" t="s">
        <v>657</v>
      </c>
      <c r="D175" s="1">
        <v>0</v>
      </c>
      <c r="E175" s="1">
        <v>0</v>
      </c>
      <c r="G175" s="1">
        <v>2</v>
      </c>
      <c r="I175" s="3" t="s">
        <v>653</v>
      </c>
      <c r="J175" s="3">
        <v>42633</v>
      </c>
      <c r="K175" s="3">
        <v>20692</v>
      </c>
      <c r="L175" s="5">
        <f>(DAYS360(K175,I175))/365</f>
        <v>59.301369863013697</v>
      </c>
      <c r="M175" s="1" t="s">
        <v>370</v>
      </c>
      <c r="N175" s="1" t="s">
        <v>639</v>
      </c>
      <c r="O175" s="1">
        <v>0</v>
      </c>
      <c r="P175" s="1" t="s">
        <v>357</v>
      </c>
      <c r="R175" s="1" t="s">
        <v>18</v>
      </c>
      <c r="S175" s="1" t="s">
        <v>357</v>
      </c>
      <c r="T175" s="1" t="s">
        <v>368</v>
      </c>
      <c r="U175" s="1">
        <v>0</v>
      </c>
      <c r="V175" s="1">
        <v>0</v>
      </c>
      <c r="W175" s="1">
        <v>1</v>
      </c>
      <c r="X175" s="1" t="s">
        <v>656</v>
      </c>
      <c r="Y175" s="1">
        <v>3</v>
      </c>
      <c r="Z175" s="1">
        <v>1</v>
      </c>
      <c r="AA175" s="1" t="s">
        <v>366</v>
      </c>
      <c r="AC175" s="1">
        <v>3</v>
      </c>
      <c r="AD175" s="1" t="s">
        <v>655</v>
      </c>
      <c r="AE175" s="1" t="s">
        <v>654</v>
      </c>
      <c r="AF175" s="1">
        <v>0</v>
      </c>
      <c r="AG175" s="1">
        <v>0</v>
      </c>
      <c r="AH175" s="1">
        <v>0</v>
      </c>
      <c r="AI175" s="3" t="s">
        <v>653</v>
      </c>
      <c r="AJ175" s="3" t="s">
        <v>633</v>
      </c>
      <c r="AK175" s="6" t="s">
        <v>652</v>
      </c>
      <c r="AL175" s="6" t="s">
        <v>652</v>
      </c>
      <c r="AM175" s="1">
        <v>0</v>
      </c>
      <c r="AN175" s="1">
        <v>0</v>
      </c>
      <c r="AO175" s="1">
        <v>0</v>
      </c>
      <c r="AP175" s="1">
        <v>0</v>
      </c>
      <c r="AQ175" s="1">
        <v>0</v>
      </c>
      <c r="AR175" s="1">
        <v>0</v>
      </c>
      <c r="AS175" s="12">
        <f>IF(AND(AM175=0,AU175&lt;=2), 1, 0)</f>
        <v>0</v>
      </c>
      <c r="AT175" s="12">
        <v>0</v>
      </c>
      <c r="AU175" s="1">
        <v>4</v>
      </c>
      <c r="AV175" s="1">
        <v>1.5</v>
      </c>
      <c r="AW175" s="1"/>
      <c r="AX175" s="6" t="s">
        <v>357</v>
      </c>
      <c r="AY175" s="6" t="s">
        <v>357</v>
      </c>
      <c r="AZ175" s="1">
        <v>0.5</v>
      </c>
      <c r="BA175" s="1">
        <f>6*0.5</f>
        <v>3</v>
      </c>
      <c r="BB175" s="1">
        <f>81.39+166.61-9.41</f>
        <v>238.59</v>
      </c>
      <c r="BE175" s="1">
        <v>433.92</v>
      </c>
      <c r="BG175" s="1">
        <v>44</v>
      </c>
      <c r="BH175" s="1">
        <v>44</v>
      </c>
      <c r="BI175" s="1">
        <v>0</v>
      </c>
      <c r="BJ175" s="1">
        <v>0</v>
      </c>
      <c r="BK175" s="1">
        <f>BH175+BI175</f>
        <v>44</v>
      </c>
      <c r="BL175" s="1">
        <v>22</v>
      </c>
      <c r="BM175" s="1">
        <v>2</v>
      </c>
      <c r="BN175" s="1" t="s">
        <v>62</v>
      </c>
      <c r="BO175" s="1">
        <v>1</v>
      </c>
      <c r="BP175" s="1">
        <v>1</v>
      </c>
      <c r="BQ175" s="1">
        <v>1</v>
      </c>
      <c r="BR175" s="3">
        <v>42653</v>
      </c>
      <c r="BS175" s="1" t="s">
        <v>91</v>
      </c>
      <c r="BT175" s="12" t="s">
        <v>90</v>
      </c>
      <c r="BU175" s="1">
        <v>2</v>
      </c>
      <c r="BV175" s="1">
        <v>1</v>
      </c>
      <c r="BW175" s="1">
        <v>6.5</v>
      </c>
      <c r="BZ175" s="1">
        <v>12.6</v>
      </c>
      <c r="CA175" s="1">
        <v>212</v>
      </c>
      <c r="CB175" s="1">
        <v>1.67</v>
      </c>
      <c r="CE175" s="1">
        <v>1</v>
      </c>
      <c r="CF175" s="3">
        <v>42717</v>
      </c>
      <c r="CG175" s="7">
        <f>CF175-AJ175</f>
        <v>35</v>
      </c>
      <c r="CH175" s="1" t="s">
        <v>651</v>
      </c>
      <c r="CI175" s="17" t="s">
        <v>460</v>
      </c>
      <c r="CJ175" s="1" t="s">
        <v>606</v>
      </c>
      <c r="CK175" s="1" t="s">
        <v>605</v>
      </c>
      <c r="CL175" s="1" t="s">
        <v>365</v>
      </c>
      <c r="CM175" s="1">
        <v>0</v>
      </c>
      <c r="CO175" s="1" t="s">
        <v>650</v>
      </c>
      <c r="CQ175" s="1" t="s">
        <v>649</v>
      </c>
      <c r="CR175" s="1">
        <v>1.6</v>
      </c>
      <c r="CS175" s="1" t="s">
        <v>602</v>
      </c>
      <c r="CT175" s="1" t="s">
        <v>648</v>
      </c>
      <c r="CU175" s="1" t="s">
        <v>647</v>
      </c>
      <c r="CV175" s="1">
        <v>0</v>
      </c>
      <c r="CW175" s="1">
        <v>3.7</v>
      </c>
      <c r="CX175" s="1">
        <v>3.4</v>
      </c>
      <c r="CY175" s="1">
        <v>0.4</v>
      </c>
      <c r="CZ175" s="1">
        <v>0</v>
      </c>
      <c r="DA175" s="1">
        <v>16</v>
      </c>
      <c r="DB175" s="2">
        <f>CZ175/DA175*100</f>
        <v>0</v>
      </c>
      <c r="DC175" s="1">
        <v>0</v>
      </c>
      <c r="DD175" s="1">
        <v>0</v>
      </c>
      <c r="DE175" s="1">
        <v>0</v>
      </c>
      <c r="DF175" s="1">
        <v>0</v>
      </c>
      <c r="DH175" s="7">
        <v>0</v>
      </c>
      <c r="DI175" s="7">
        <v>0</v>
      </c>
      <c r="DJ175" s="3">
        <v>44333</v>
      </c>
      <c r="DL175" s="1">
        <f>(DJ175-I175)/365.25*12</f>
        <v>55.195071868583156</v>
      </c>
      <c r="DM175" s="1">
        <v>1</v>
      </c>
      <c r="DN175" s="1" t="s">
        <v>646</v>
      </c>
      <c r="DO175" s="3">
        <v>42920</v>
      </c>
      <c r="DP175" s="6" t="s">
        <v>645</v>
      </c>
      <c r="DQ175" s="7">
        <v>0</v>
      </c>
      <c r="DR175" s="3" t="s">
        <v>357</v>
      </c>
      <c r="DS175" s="10">
        <f>IF(DQ175=1, (DR175-$I175)/365.25*12, IF(DQ175=0, $DL175, "ERROR"))</f>
        <v>55.195071868583156</v>
      </c>
      <c r="DT175" s="7">
        <v>1</v>
      </c>
      <c r="DU175" s="7">
        <v>0</v>
      </c>
      <c r="DV175" s="7">
        <v>1</v>
      </c>
      <c r="DW175" s="16">
        <f>DU175*(1-DV175)</f>
        <v>0</v>
      </c>
      <c r="DX175" s="16">
        <f>(1-DU175)*DV175</f>
        <v>1</v>
      </c>
      <c r="DY175" s="16">
        <f>DU175*DV175</f>
        <v>0</v>
      </c>
      <c r="DZ175" s="3">
        <v>42920</v>
      </c>
      <c r="EA175" s="10">
        <f>IF(DT175=1, (DZ175-$I175)/365.25*12, IF(DT175=0, $DL175, "ERROR"))</f>
        <v>8.772073921971252</v>
      </c>
      <c r="EB175" s="7">
        <v>1</v>
      </c>
      <c r="EC175" s="7">
        <v>0</v>
      </c>
      <c r="ED175" s="16">
        <f>1-((1-DQ175)*(1-DT175))</f>
        <v>1</v>
      </c>
      <c r="EE175" s="11">
        <f>MIN(DR175,DZ175)</f>
        <v>42920</v>
      </c>
      <c r="EF175" s="1" t="s">
        <v>644</v>
      </c>
      <c r="EG175" s="7" t="s">
        <v>357</v>
      </c>
      <c r="EH175" s="1" t="s">
        <v>357</v>
      </c>
      <c r="EI175" s="7">
        <v>0</v>
      </c>
      <c r="EJ175" s="16">
        <f>(1-DQ175)*DX175*(1-EI175)</f>
        <v>1</v>
      </c>
      <c r="EK175" s="1" t="s">
        <v>357</v>
      </c>
      <c r="EL175" s="10">
        <f>IF(EI175=1, (EK175-$I175)/365.25*12, IF(EI175=0, $DL175, "ERROR"))</f>
        <v>55.195071868583156</v>
      </c>
      <c r="EM175" s="1" t="s">
        <v>357</v>
      </c>
      <c r="EN175" s="1">
        <v>0</v>
      </c>
      <c r="EO175" s="1">
        <v>0</v>
      </c>
      <c r="EP175" s="1">
        <v>0</v>
      </c>
      <c r="EQ175" s="1">
        <v>0</v>
      </c>
      <c r="ER175" s="1">
        <v>0</v>
      </c>
      <c r="ES175" s="1">
        <v>0</v>
      </c>
      <c r="ET175" s="1">
        <v>0</v>
      </c>
      <c r="EU175" s="1">
        <v>0</v>
      </c>
      <c r="EV175" s="1">
        <v>0</v>
      </c>
      <c r="EW175" s="1">
        <f>1-((1-EP175)*(1-ET175)*(1-EU175)*(1-EV175))</f>
        <v>0</v>
      </c>
      <c r="EX175" s="7">
        <v>0</v>
      </c>
      <c r="EY175" s="7">
        <v>0</v>
      </c>
      <c r="EZ175" s="7">
        <v>0</v>
      </c>
      <c r="FA175" s="7">
        <v>0</v>
      </c>
      <c r="FB175" s="1" t="s">
        <v>357</v>
      </c>
      <c r="FC175" s="1">
        <v>0</v>
      </c>
      <c r="FD175" s="1">
        <v>1</v>
      </c>
      <c r="FF175" s="1" t="s">
        <v>45</v>
      </c>
      <c r="FG175" s="3">
        <f>IF(FC175=1, FF175, IF(FD175=1, 44348, DJ175))</f>
        <v>44348</v>
      </c>
      <c r="FH175" s="13">
        <f>(FG175-I175)/365.25*12</f>
        <v>55.687885010266939</v>
      </c>
      <c r="FI175" s="13"/>
      <c r="FJ175" s="14">
        <f>IF(OR(DM175,FC175), 1, 0)</f>
        <v>1</v>
      </c>
      <c r="FK175" s="11">
        <f>IF(DM175=1,IF(FC175=1,MIN(DO175,FF175),DO175),IF(FC175=1,FF175,DJ175))</f>
        <v>42920</v>
      </c>
      <c r="FL175" s="13">
        <f>(FK175-$I175)/365.25*12</f>
        <v>8.772073921971252</v>
      </c>
      <c r="FM175" s="14">
        <f>IF(OR(ED175,FC175), 1, 0)</f>
        <v>1</v>
      </c>
      <c r="FN175" s="11">
        <f>IF(ED175=1,IF(FC175=1,MIN(EE175,FF175),EE175),IF(FC175=1,FF175,DJ175))</f>
        <v>42920</v>
      </c>
      <c r="FO175" s="13">
        <f>(FN175-$I175)/365.25*12</f>
        <v>8.772073921971252</v>
      </c>
      <c r="FP175" s="14">
        <f>IF(OR(EI175,FC175), 1, 0)</f>
        <v>0</v>
      </c>
      <c r="FQ175" s="11">
        <f>IF(EI175=1,IF(FC175=1,MIN(EK175,FF175),EK175),IF(FC175=1,FF175,DJ175))</f>
        <v>44333</v>
      </c>
      <c r="FR175" s="13">
        <f>(FQ175-$I175)/365.25*12</f>
        <v>55.195071868583156</v>
      </c>
      <c r="FU175" s="1">
        <v>0</v>
      </c>
      <c r="FV175" s="1">
        <v>0</v>
      </c>
      <c r="FW175" s="1">
        <v>0</v>
      </c>
      <c r="FX175" s="1">
        <v>0</v>
      </c>
    </row>
    <row r="176" spans="1:190" ht="12.75" hidden="1" customHeight="1">
      <c r="A176" s="1" t="s">
        <v>643</v>
      </c>
      <c r="B176" s="1" t="s">
        <v>642</v>
      </c>
      <c r="C176" s="23" t="s">
        <v>641</v>
      </c>
      <c r="D176" s="1">
        <v>0</v>
      </c>
      <c r="E176" s="1">
        <v>0</v>
      </c>
      <c r="G176" s="1">
        <v>2</v>
      </c>
      <c r="I176" s="3" t="s">
        <v>640</v>
      </c>
      <c r="J176" s="3">
        <v>42668</v>
      </c>
      <c r="K176" s="3">
        <v>18647</v>
      </c>
      <c r="L176" s="5">
        <f>(DAYS360(K176,I176))/365</f>
        <v>64.890410958904113</v>
      </c>
      <c r="M176" s="1" t="s">
        <v>370</v>
      </c>
      <c r="N176" s="1" t="s">
        <v>639</v>
      </c>
      <c r="O176" s="1">
        <v>0</v>
      </c>
      <c r="P176" s="1" t="s">
        <v>423</v>
      </c>
      <c r="R176" s="1" t="s">
        <v>18</v>
      </c>
      <c r="S176" s="1" t="s">
        <v>638</v>
      </c>
      <c r="T176" s="1" t="s">
        <v>384</v>
      </c>
      <c r="U176" s="1">
        <v>0</v>
      </c>
      <c r="V176" s="1">
        <v>1</v>
      </c>
      <c r="W176" s="1">
        <v>0</v>
      </c>
      <c r="X176" s="1" t="s">
        <v>637</v>
      </c>
      <c r="Y176" s="1" t="s">
        <v>636</v>
      </c>
      <c r="Z176" s="1" t="s">
        <v>635</v>
      </c>
      <c r="AA176" s="1" t="s">
        <v>382</v>
      </c>
      <c r="AC176" s="1">
        <v>2</v>
      </c>
      <c r="AD176" s="1" t="s">
        <v>634</v>
      </c>
      <c r="AE176" s="1" t="s">
        <v>634</v>
      </c>
      <c r="AF176" s="1">
        <v>0</v>
      </c>
      <c r="AG176" s="1">
        <v>0</v>
      </c>
      <c r="AH176" s="1">
        <v>0</v>
      </c>
      <c r="AI176" s="3" t="s">
        <v>633</v>
      </c>
      <c r="AJ176" s="3" t="s">
        <v>632</v>
      </c>
      <c r="AK176" s="6" t="s">
        <v>631</v>
      </c>
      <c r="AM176" s="1">
        <v>0</v>
      </c>
      <c r="AN176" s="1">
        <v>0</v>
      </c>
      <c r="AO176" s="1">
        <v>0</v>
      </c>
      <c r="AP176" s="1">
        <v>0</v>
      </c>
      <c r="AQ176" s="1">
        <v>0</v>
      </c>
      <c r="AR176" s="1">
        <v>0</v>
      </c>
      <c r="AS176" s="1"/>
      <c r="AT176" s="1"/>
      <c r="AU176" s="1">
        <v>4</v>
      </c>
      <c r="AV176" s="1">
        <v>1.5</v>
      </c>
      <c r="AW176" s="1"/>
      <c r="AX176" s="6" t="s">
        <v>357</v>
      </c>
      <c r="AY176" s="6" t="s">
        <v>357</v>
      </c>
      <c r="AZ176" s="1">
        <v>0.7</v>
      </c>
      <c r="BA176" s="1">
        <f>13*0.5</f>
        <v>6.5</v>
      </c>
      <c r="BB176" s="1">
        <v>339.25</v>
      </c>
      <c r="BE176" s="1">
        <v>643.67999999999995</v>
      </c>
      <c r="BG176" s="1">
        <v>44</v>
      </c>
      <c r="BH176" s="1">
        <v>44</v>
      </c>
      <c r="BI176" s="1">
        <v>0</v>
      </c>
      <c r="BJ176" s="1">
        <v>0</v>
      </c>
      <c r="BK176" s="1">
        <f>BH176+BI176</f>
        <v>44</v>
      </c>
      <c r="BL176" s="1">
        <v>22</v>
      </c>
      <c r="BM176" s="1">
        <v>2</v>
      </c>
      <c r="BN176" s="1" t="s">
        <v>110</v>
      </c>
      <c r="BO176" s="1">
        <v>0</v>
      </c>
      <c r="BP176" s="1">
        <v>1</v>
      </c>
      <c r="BQ176" s="1">
        <v>1</v>
      </c>
      <c r="BR176" s="3">
        <v>42682</v>
      </c>
      <c r="BS176" s="1" t="s">
        <v>91</v>
      </c>
      <c r="BT176" s="12" t="s">
        <v>90</v>
      </c>
      <c r="BU176" s="1">
        <v>2</v>
      </c>
      <c r="BV176" s="1">
        <v>1</v>
      </c>
      <c r="BW176" s="1">
        <v>11.16</v>
      </c>
      <c r="BZ176" s="1">
        <v>11.9</v>
      </c>
      <c r="CA176" s="1">
        <v>315</v>
      </c>
      <c r="CB176" s="1">
        <v>1.54</v>
      </c>
      <c r="CE176" s="1">
        <v>0</v>
      </c>
      <c r="CF176" s="1" t="s">
        <v>357</v>
      </c>
      <c r="CH176" s="1" t="s">
        <v>357</v>
      </c>
      <c r="CI176" s="1" t="s">
        <v>45</v>
      </c>
      <c r="CJ176" s="1" t="s">
        <v>357</v>
      </c>
      <c r="CK176" s="1" t="s">
        <v>357</v>
      </c>
      <c r="CL176" s="1" t="s">
        <v>357</v>
      </c>
      <c r="CM176" s="1" t="s">
        <v>357</v>
      </c>
      <c r="CO176" s="1" t="s">
        <v>357</v>
      </c>
      <c r="CQ176" s="1" t="s">
        <v>357</v>
      </c>
      <c r="CR176" s="1" t="s">
        <v>357</v>
      </c>
      <c r="CS176" s="1" t="s">
        <v>357</v>
      </c>
      <c r="CT176" s="1" t="s">
        <v>357</v>
      </c>
      <c r="CU176" s="1" t="s">
        <v>357</v>
      </c>
      <c r="CV176" s="1" t="s">
        <v>357</v>
      </c>
      <c r="CW176" s="1" t="s">
        <v>357</v>
      </c>
      <c r="CX176" s="1" t="s">
        <v>357</v>
      </c>
      <c r="CY176" s="1" t="s">
        <v>357</v>
      </c>
      <c r="CZ176" s="1" t="s">
        <v>357</v>
      </c>
      <c r="DA176" s="1" t="s">
        <v>357</v>
      </c>
      <c r="DB176" s="2" t="s">
        <v>357</v>
      </c>
      <c r="DC176" s="1" t="s">
        <v>357</v>
      </c>
      <c r="DD176" s="1" t="s">
        <v>357</v>
      </c>
      <c r="DE176" s="1" t="s">
        <v>357</v>
      </c>
      <c r="DF176" s="1" t="s">
        <v>357</v>
      </c>
      <c r="DH176" s="7">
        <v>0</v>
      </c>
      <c r="DI176" s="7">
        <v>0</v>
      </c>
      <c r="DJ176" s="3">
        <v>42773</v>
      </c>
      <c r="DK176" s="1" t="s">
        <v>630</v>
      </c>
      <c r="DL176" s="1">
        <f>(DJ176-I176)/365.25*12</f>
        <v>3.1211498973305956</v>
      </c>
      <c r="DM176" s="1">
        <v>0</v>
      </c>
      <c r="DN176" s="1" t="s">
        <v>357</v>
      </c>
      <c r="DO176" s="1" t="s">
        <v>357</v>
      </c>
      <c r="DP176" s="6" t="s">
        <v>357</v>
      </c>
      <c r="DQ176" s="7">
        <v>0</v>
      </c>
      <c r="DR176" s="3" t="s">
        <v>357</v>
      </c>
      <c r="DS176" s="3"/>
      <c r="DT176" s="7">
        <v>0</v>
      </c>
      <c r="DU176" s="7">
        <v>0</v>
      </c>
      <c r="DV176" s="7">
        <v>0</v>
      </c>
      <c r="DW176" s="16">
        <f>DU176*(1-DV176)</f>
        <v>0</v>
      </c>
      <c r="DX176" s="16">
        <f>(1-DU176)*DV176</f>
        <v>0</v>
      </c>
      <c r="DY176" s="16">
        <f>DU176*DV176</f>
        <v>0</v>
      </c>
      <c r="DZ176" s="3" t="s">
        <v>357</v>
      </c>
      <c r="EB176" s="7">
        <v>0</v>
      </c>
      <c r="EC176" s="7">
        <v>0</v>
      </c>
      <c r="ED176" s="16">
        <f>1-((1-DQ176)*(1-DT176))</f>
        <v>0</v>
      </c>
      <c r="EE176" s="11" t="s">
        <v>45</v>
      </c>
      <c r="EF176" s="1" t="s">
        <v>357</v>
      </c>
      <c r="EG176" s="7" t="s">
        <v>357</v>
      </c>
      <c r="EH176" s="1" t="s">
        <v>357</v>
      </c>
      <c r="EI176" s="7">
        <v>0</v>
      </c>
      <c r="EJ176" s="16">
        <f>(1-DQ176)*DX176*(1-EI176)</f>
        <v>0</v>
      </c>
      <c r="EK176" s="1" t="s">
        <v>357</v>
      </c>
      <c r="EM176" s="1" t="s">
        <v>357</v>
      </c>
      <c r="EN176" s="1"/>
      <c r="EO176" s="1"/>
      <c r="EP176" s="1"/>
      <c r="EQ176" s="1"/>
      <c r="ER176" s="1"/>
      <c r="ES176" s="1"/>
      <c r="ET176" s="1"/>
      <c r="EU176" s="1"/>
      <c r="EV176" s="1"/>
      <c r="EW176" s="1"/>
      <c r="EX176" s="7">
        <v>0</v>
      </c>
      <c r="FB176" s="1" t="s">
        <v>357</v>
      </c>
      <c r="FC176" s="1">
        <v>1</v>
      </c>
      <c r="FD176" s="1">
        <v>1</v>
      </c>
      <c r="FF176" s="3">
        <v>42773</v>
      </c>
      <c r="FG176" s="3">
        <f>IF(FC176=1, FF176, IF(FD176=1, 44348, DJ176))</f>
        <v>42773</v>
      </c>
      <c r="FH176" s="13">
        <f>(FG176-I176)/365.25*12</f>
        <v>3.1211498973305956</v>
      </c>
      <c r="FI176" s="13"/>
      <c r="FJ176" s="14">
        <f>IF(OR(DM176,FC176), 1, 0)</f>
        <v>1</v>
      </c>
      <c r="FK176" s="11">
        <f>IF(DM176=1,IF(FC176=1,MIN(DO176,FF176),DO176),IF(FC176=1,FF176,DJ176))</f>
        <v>42773</v>
      </c>
      <c r="FL176" s="13">
        <f>(FK176-$I176)/365.25*12</f>
        <v>3.1211498973305956</v>
      </c>
      <c r="FM176" s="14">
        <f>IF(OR(ED176,FC176), 1, 0)</f>
        <v>1</v>
      </c>
      <c r="FN176" s="11">
        <f>IF(ED176=1,IF(FC176=1,MIN(EE176,FF176),EE176),IF(FC176=1,FF176,DJ176))</f>
        <v>42773</v>
      </c>
      <c r="FO176" s="13">
        <f>(FN176-$I176)/365.25*12</f>
        <v>3.1211498973305956</v>
      </c>
      <c r="FP176" s="14">
        <f>IF(OR(EI176,FC176), 1, 0)</f>
        <v>1</v>
      </c>
      <c r="FQ176" s="11">
        <f>IF(EI176=1,IF(FC176=1,MIN(EK176,FF176),EK176),IF(FC176=1,FF176,DJ176))</f>
        <v>42773</v>
      </c>
      <c r="FR176" s="13">
        <f>(FQ176-$I176)/365.25*12</f>
        <v>3.1211498973305956</v>
      </c>
      <c r="FU176" s="1">
        <v>0</v>
      </c>
      <c r="FV176" s="1">
        <v>0</v>
      </c>
      <c r="FW176" s="1">
        <v>0</v>
      </c>
      <c r="FX176" s="1">
        <v>0</v>
      </c>
      <c r="FY176" s="1" t="s">
        <v>629</v>
      </c>
    </row>
    <row r="177" spans="1:182" ht="12.75" hidden="1" customHeight="1">
      <c r="A177" s="1" t="s">
        <v>628</v>
      </c>
      <c r="B177" s="1" t="s">
        <v>627</v>
      </c>
      <c r="C177" s="23" t="s">
        <v>626</v>
      </c>
      <c r="D177" s="1">
        <v>0</v>
      </c>
      <c r="E177" s="1">
        <v>0</v>
      </c>
      <c r="G177" s="1">
        <v>2</v>
      </c>
      <c r="I177" s="3">
        <v>43193</v>
      </c>
      <c r="J177" s="3">
        <v>43180</v>
      </c>
      <c r="K177" s="3">
        <v>25850</v>
      </c>
      <c r="L177" s="5">
        <f>(DAYS360(K177,I177))/365</f>
        <v>46.832876712328769</v>
      </c>
      <c r="M177" s="1" t="s">
        <v>370</v>
      </c>
      <c r="N177" s="1">
        <v>1</v>
      </c>
      <c r="O177" s="1">
        <v>0</v>
      </c>
      <c r="P177" s="1" t="s">
        <v>410</v>
      </c>
      <c r="R177" s="1" t="s">
        <v>613</v>
      </c>
      <c r="S177" s="1" t="s">
        <v>625</v>
      </c>
      <c r="T177" s="1" t="s">
        <v>384</v>
      </c>
      <c r="U177" s="1">
        <v>0</v>
      </c>
      <c r="V177" s="1">
        <v>1</v>
      </c>
      <c r="W177" s="1">
        <v>0</v>
      </c>
      <c r="X177" s="1" t="s">
        <v>624</v>
      </c>
      <c r="Y177" s="1">
        <v>4</v>
      </c>
      <c r="Z177" s="1">
        <v>2</v>
      </c>
      <c r="AA177" s="1" t="s">
        <v>280</v>
      </c>
      <c r="AC177" s="1">
        <v>4</v>
      </c>
      <c r="AD177" s="1" t="s">
        <v>623</v>
      </c>
      <c r="AE177" s="1" t="s">
        <v>622</v>
      </c>
      <c r="AF177" s="1">
        <v>0</v>
      </c>
      <c r="AG177" s="1">
        <v>0</v>
      </c>
      <c r="AH177" s="1">
        <v>0</v>
      </c>
      <c r="AI177" s="3">
        <v>43193</v>
      </c>
      <c r="AJ177" s="3">
        <v>43223</v>
      </c>
      <c r="AK177" s="6" t="s">
        <v>621</v>
      </c>
      <c r="AM177" s="1">
        <v>1</v>
      </c>
      <c r="AN177" s="1">
        <v>1</v>
      </c>
      <c r="AO177" s="1">
        <v>1</v>
      </c>
      <c r="AP177" s="1">
        <v>0</v>
      </c>
      <c r="AQ177" s="1">
        <v>0</v>
      </c>
      <c r="AR177" s="1">
        <v>0</v>
      </c>
      <c r="AS177" s="1"/>
      <c r="AT177" s="1"/>
      <c r="AU177" s="1">
        <v>0.3</v>
      </c>
      <c r="AV177" s="1">
        <v>0.3</v>
      </c>
      <c r="AW177" s="1"/>
      <c r="AX177" s="6" t="s">
        <v>357</v>
      </c>
      <c r="AY177" s="6" t="s">
        <v>357</v>
      </c>
      <c r="AZ177" s="1">
        <v>0.3</v>
      </c>
      <c r="BA177" s="1">
        <f>24*0.5</f>
        <v>12</v>
      </c>
      <c r="BB177" s="1">
        <v>283.95</v>
      </c>
      <c r="BE177" s="1">
        <v>419.55</v>
      </c>
      <c r="BG177" s="1">
        <v>44</v>
      </c>
      <c r="BH177" s="1">
        <v>44</v>
      </c>
      <c r="BI177" s="1">
        <v>0</v>
      </c>
      <c r="BJ177" s="1">
        <v>0</v>
      </c>
      <c r="BK177" s="1">
        <f>BH177+BI177</f>
        <v>44</v>
      </c>
      <c r="BL177" s="1">
        <v>22</v>
      </c>
      <c r="BM177" s="1">
        <v>2</v>
      </c>
      <c r="BN177" s="1" t="s">
        <v>608</v>
      </c>
      <c r="BO177" s="1">
        <v>1</v>
      </c>
      <c r="BP177" s="1">
        <v>1</v>
      </c>
      <c r="BQ177" s="1">
        <v>1</v>
      </c>
      <c r="BR177" s="3">
        <v>43193</v>
      </c>
      <c r="BS177" s="1" t="s">
        <v>91</v>
      </c>
      <c r="BT177" s="12" t="s">
        <v>90</v>
      </c>
      <c r="BU177" s="1">
        <v>2</v>
      </c>
      <c r="BV177" s="1">
        <v>1</v>
      </c>
      <c r="CB177" s="1">
        <v>1.63</v>
      </c>
      <c r="CE177" s="1">
        <v>0</v>
      </c>
      <c r="CF177" s="1" t="s">
        <v>357</v>
      </c>
      <c r="CH177" s="1" t="s">
        <v>76</v>
      </c>
      <c r="CI177" s="1" t="s">
        <v>45</v>
      </c>
      <c r="CJ177" s="1" t="s">
        <v>357</v>
      </c>
      <c r="CK177" s="1" t="s">
        <v>357</v>
      </c>
      <c r="CL177" s="1" t="s">
        <v>357</v>
      </c>
      <c r="CM177" s="1" t="s">
        <v>357</v>
      </c>
      <c r="CO177" s="1" t="s">
        <v>357</v>
      </c>
      <c r="CQ177" s="1" t="s">
        <v>357</v>
      </c>
      <c r="CR177" s="1" t="s">
        <v>357</v>
      </c>
      <c r="CS177" s="1" t="s">
        <v>357</v>
      </c>
      <c r="CT177" s="1" t="s">
        <v>357</v>
      </c>
      <c r="CU177" s="1" t="s">
        <v>357</v>
      </c>
      <c r="CV177" s="1" t="s">
        <v>357</v>
      </c>
      <c r="CW177" s="1" t="s">
        <v>357</v>
      </c>
      <c r="CX177" s="1" t="s">
        <v>357</v>
      </c>
      <c r="CY177" s="1" t="s">
        <v>357</v>
      </c>
      <c r="CZ177" s="1" t="s">
        <v>357</v>
      </c>
      <c r="DA177" s="1" t="s">
        <v>357</v>
      </c>
      <c r="DB177" s="2" t="s">
        <v>357</v>
      </c>
      <c r="DC177" s="1" t="s">
        <v>357</v>
      </c>
      <c r="DD177" s="1" t="s">
        <v>357</v>
      </c>
      <c r="DE177" s="1" t="s">
        <v>357</v>
      </c>
      <c r="DF177" s="1" t="s">
        <v>357</v>
      </c>
      <c r="DH177" s="7">
        <v>0</v>
      </c>
      <c r="DI177" s="7">
        <v>0</v>
      </c>
      <c r="DJ177" s="3">
        <v>43572</v>
      </c>
      <c r="DL177" s="1">
        <f>(DJ177-I177)/365.25*12</f>
        <v>12.451745379876797</v>
      </c>
      <c r="DM177" s="1">
        <v>1</v>
      </c>
      <c r="DN177" s="1" t="s">
        <v>620</v>
      </c>
      <c r="DO177" s="3">
        <v>43447</v>
      </c>
      <c r="DP177" s="6" t="s">
        <v>619</v>
      </c>
      <c r="DQ177" s="7">
        <v>1</v>
      </c>
      <c r="DR177" s="3">
        <v>43477</v>
      </c>
      <c r="DS177" s="3"/>
      <c r="DT177" s="7">
        <v>1</v>
      </c>
      <c r="DU177" s="7">
        <v>1</v>
      </c>
      <c r="DV177" s="7">
        <v>1</v>
      </c>
      <c r="DW177" s="16">
        <f>DU177*(1-DV177)</f>
        <v>0</v>
      </c>
      <c r="DX177" s="16">
        <f>(1-DU177)*DV177</f>
        <v>0</v>
      </c>
      <c r="DY177" s="16">
        <f>DU177*DV177</f>
        <v>1</v>
      </c>
      <c r="DZ177" s="3">
        <v>43447</v>
      </c>
      <c r="EB177" s="7">
        <v>1</v>
      </c>
      <c r="EC177" s="7">
        <v>1</v>
      </c>
      <c r="ED177" s="16">
        <f>1-((1-DQ177)*(1-DT177))</f>
        <v>1</v>
      </c>
      <c r="EE177" s="11">
        <f>MIN(DR177,DZ177)</f>
        <v>43447</v>
      </c>
      <c r="EF177" s="1" t="s">
        <v>618</v>
      </c>
      <c r="EG177" s="7">
        <v>1</v>
      </c>
      <c r="EH177" s="1" t="s">
        <v>357</v>
      </c>
      <c r="EI177" s="7">
        <v>1</v>
      </c>
      <c r="EJ177" s="16">
        <f>(1-DQ177)*DX177*(1-EI177)</f>
        <v>0</v>
      </c>
      <c r="EK177" s="3">
        <v>43447</v>
      </c>
      <c r="EL177" s="3"/>
      <c r="EM177" s="1" t="s">
        <v>617</v>
      </c>
      <c r="EN177" s="1"/>
      <c r="EO177" s="1"/>
      <c r="EP177" s="1"/>
      <c r="EQ177" s="1"/>
      <c r="ER177" s="1"/>
      <c r="ES177" s="1"/>
      <c r="ET177" s="1"/>
      <c r="EU177" s="1"/>
      <c r="EV177" s="1"/>
      <c r="EW177" s="1"/>
      <c r="EX177" s="7">
        <v>0</v>
      </c>
      <c r="FB177" s="1" t="s">
        <v>357</v>
      </c>
      <c r="FC177" s="1">
        <v>1</v>
      </c>
      <c r="FD177" s="1">
        <v>1</v>
      </c>
      <c r="FF177" s="3">
        <v>43600</v>
      </c>
      <c r="FG177" s="3">
        <f>IF(FC177=1, FF177, IF(FD177=1, 44348, DJ177))</f>
        <v>43600</v>
      </c>
      <c r="FH177" s="13">
        <f>(FG177-I177)/365.25*12</f>
        <v>13.371663244353183</v>
      </c>
      <c r="FI177" s="13"/>
      <c r="FJ177" s="14">
        <f>IF(OR(DM177,FC177), 1, 0)</f>
        <v>1</v>
      </c>
      <c r="FK177" s="11">
        <f>IF(DM177=1,IF(FC177=1,MIN(DO177,FF177),DO177),IF(FC177=1,FF177,DJ177))</f>
        <v>43447</v>
      </c>
      <c r="FL177" s="13">
        <f>(FK177-$I177)/365.25*12</f>
        <v>8.3449691991786441</v>
      </c>
      <c r="FM177" s="14">
        <f>IF(OR(ED177,FC177), 1, 0)</f>
        <v>1</v>
      </c>
      <c r="FN177" s="11">
        <f>IF(ED177=1,IF(FC177=1,MIN(EE177,FF177),EE177),IF(FC177=1,FF177,DJ177))</f>
        <v>43447</v>
      </c>
      <c r="FO177" s="13">
        <f>(FN177-$I177)/365.25*12</f>
        <v>8.3449691991786441</v>
      </c>
      <c r="FP177" s="14">
        <f>IF(OR(EI177,FC177), 1, 0)</f>
        <v>1</v>
      </c>
      <c r="FQ177" s="11">
        <f>IF(EI177=1,IF(FC177=1,MIN(EK177,FF177),EK177),IF(FC177=1,FF177,DJ177))</f>
        <v>43447</v>
      </c>
      <c r="FR177" s="13">
        <f>(FQ177-$I177)/365.25*12</f>
        <v>8.3449691991786441</v>
      </c>
      <c r="FU177" s="1">
        <v>1</v>
      </c>
      <c r="FV177" s="1">
        <v>1</v>
      </c>
      <c r="FW177" s="1">
        <v>1</v>
      </c>
      <c r="FX177" s="1">
        <v>0</v>
      </c>
    </row>
    <row r="178" spans="1:182" ht="12.75" hidden="1" customHeight="1">
      <c r="A178" s="1" t="s">
        <v>616</v>
      </c>
      <c r="B178" s="1" t="s">
        <v>615</v>
      </c>
      <c r="C178" s="23" t="s">
        <v>614</v>
      </c>
      <c r="D178" s="1">
        <v>0</v>
      </c>
      <c r="E178" s="1">
        <v>0</v>
      </c>
      <c r="G178" s="1">
        <v>2</v>
      </c>
      <c r="I178" s="3">
        <v>43455</v>
      </c>
      <c r="J178" s="3">
        <v>43431</v>
      </c>
      <c r="K178" s="3">
        <v>19627</v>
      </c>
      <c r="L178" s="5">
        <f>(DAYS360(K178,I178))/365</f>
        <v>64.345205479452048</v>
      </c>
      <c r="M178" s="1" t="s">
        <v>370</v>
      </c>
      <c r="N178" s="1">
        <v>1</v>
      </c>
      <c r="O178" s="1">
        <v>0</v>
      </c>
      <c r="P178" s="1" t="s">
        <v>357</v>
      </c>
      <c r="R178" s="1" t="s">
        <v>613</v>
      </c>
      <c r="S178" s="1">
        <v>25</v>
      </c>
      <c r="T178" s="1" t="s">
        <v>408</v>
      </c>
      <c r="U178" s="1">
        <v>1</v>
      </c>
      <c r="V178" s="1">
        <v>0</v>
      </c>
      <c r="W178" s="1">
        <v>0</v>
      </c>
      <c r="X178" s="1" t="s">
        <v>395</v>
      </c>
      <c r="Y178" s="1">
        <v>3</v>
      </c>
      <c r="Z178" s="1">
        <v>1</v>
      </c>
      <c r="AA178" s="1" t="s">
        <v>366</v>
      </c>
      <c r="AC178" s="1">
        <v>3</v>
      </c>
      <c r="AD178" s="1" t="s">
        <v>612</v>
      </c>
      <c r="AE178" s="1" t="s">
        <v>611</v>
      </c>
      <c r="AF178" s="1">
        <v>0</v>
      </c>
      <c r="AG178" s="1">
        <v>0</v>
      </c>
      <c r="AH178" s="1">
        <v>0</v>
      </c>
      <c r="AI178" s="3">
        <v>43455</v>
      </c>
      <c r="AJ178" s="3">
        <v>43488</v>
      </c>
      <c r="AK178" s="6" t="s">
        <v>610</v>
      </c>
      <c r="AL178" s="6" t="s">
        <v>609</v>
      </c>
      <c r="AM178" s="1">
        <v>1</v>
      </c>
      <c r="AN178" s="1">
        <v>0</v>
      </c>
      <c r="AO178" s="1">
        <v>1</v>
      </c>
      <c r="AP178" s="1">
        <v>0</v>
      </c>
      <c r="AQ178" s="1">
        <v>0</v>
      </c>
      <c r="AR178" s="1">
        <v>0</v>
      </c>
      <c r="AS178" s="12">
        <f>IF(AND(AM178=0,AU178&lt;=2), 1, 0)</f>
        <v>0</v>
      </c>
      <c r="AT178" s="12">
        <v>0</v>
      </c>
      <c r="AU178" s="1">
        <v>4</v>
      </c>
      <c r="AV178" s="1">
        <v>2</v>
      </c>
      <c r="AW178" s="1"/>
      <c r="AX178" s="6" t="s">
        <v>357</v>
      </c>
      <c r="AY178" s="6" t="s">
        <v>357</v>
      </c>
      <c r="AZ178" s="1">
        <v>0.5</v>
      </c>
      <c r="BA178" s="1">
        <f>11*0.5</f>
        <v>5.5</v>
      </c>
      <c r="BB178" s="1">
        <v>259.83</v>
      </c>
      <c r="BE178" s="1">
        <v>475.96</v>
      </c>
      <c r="BG178" s="1">
        <v>44</v>
      </c>
      <c r="BH178" s="1">
        <v>44</v>
      </c>
      <c r="BI178" s="1">
        <v>0</v>
      </c>
      <c r="BJ178" s="1">
        <v>0</v>
      </c>
      <c r="BK178" s="1">
        <f>BH178+BI178</f>
        <v>44</v>
      </c>
      <c r="BL178" s="1">
        <v>22</v>
      </c>
      <c r="BM178" s="1">
        <v>2</v>
      </c>
      <c r="BN178" s="1" t="s">
        <v>608</v>
      </c>
      <c r="BO178" s="1">
        <v>1</v>
      </c>
      <c r="BP178" s="1">
        <v>1</v>
      </c>
      <c r="BQ178" s="1">
        <v>1</v>
      </c>
      <c r="BR178" s="3">
        <v>43455</v>
      </c>
      <c r="BS178" s="1" t="s">
        <v>91</v>
      </c>
      <c r="BT178" s="12" t="s">
        <v>90</v>
      </c>
      <c r="BU178" s="1">
        <v>2</v>
      </c>
      <c r="BV178" s="1">
        <v>1</v>
      </c>
      <c r="CB178" s="1">
        <v>1.76</v>
      </c>
      <c r="CE178" s="1">
        <v>1</v>
      </c>
      <c r="CF178" s="3">
        <v>43529</v>
      </c>
      <c r="CG178" s="7">
        <f>CF178-AJ178</f>
        <v>41</v>
      </c>
      <c r="CH178" s="1" t="s">
        <v>607</v>
      </c>
      <c r="CI178" s="17" t="s">
        <v>460</v>
      </c>
      <c r="CJ178" s="1" t="s">
        <v>606</v>
      </c>
      <c r="CK178" s="1" t="s">
        <v>605</v>
      </c>
      <c r="CL178" s="1" t="s">
        <v>365</v>
      </c>
      <c r="CM178" s="1">
        <v>0</v>
      </c>
      <c r="CO178" s="1" t="s">
        <v>604</v>
      </c>
      <c r="CQ178" s="1" t="s">
        <v>603</v>
      </c>
      <c r="CR178" s="1">
        <v>2</v>
      </c>
      <c r="CS178" s="1" t="s">
        <v>602</v>
      </c>
      <c r="CT178" s="1" t="s">
        <v>511</v>
      </c>
      <c r="CU178" s="1" t="s">
        <v>454</v>
      </c>
      <c r="CV178" s="1">
        <v>0</v>
      </c>
      <c r="CW178" s="1">
        <v>0.3</v>
      </c>
      <c r="CX178" s="1">
        <v>22.5</v>
      </c>
      <c r="CY178" s="1">
        <v>0.1</v>
      </c>
      <c r="CZ178" s="1">
        <v>1</v>
      </c>
      <c r="DA178" s="1">
        <v>26</v>
      </c>
      <c r="DB178" s="2">
        <f>CZ178/DA178*100</f>
        <v>3.8461538461538463</v>
      </c>
      <c r="DC178" s="1">
        <v>0</v>
      </c>
      <c r="DD178" s="1">
        <v>0</v>
      </c>
      <c r="DE178" s="1">
        <v>0</v>
      </c>
      <c r="DF178" s="1">
        <v>1</v>
      </c>
      <c r="DH178" s="7">
        <v>0</v>
      </c>
      <c r="DI178" s="7">
        <v>0</v>
      </c>
      <c r="DJ178" s="3">
        <v>44344</v>
      </c>
      <c r="DL178" s="1">
        <f>(DJ178-I178)/365.25*12</f>
        <v>29.207392197125259</v>
      </c>
      <c r="DM178" s="1">
        <v>1</v>
      </c>
      <c r="DN178" s="1" t="s">
        <v>601</v>
      </c>
      <c r="DO178" s="3">
        <v>44162</v>
      </c>
      <c r="DP178" s="6" t="s">
        <v>600</v>
      </c>
      <c r="DQ178" s="7">
        <v>0</v>
      </c>
      <c r="DR178" s="3" t="s">
        <v>357</v>
      </c>
      <c r="DS178" s="10">
        <f>IF(DQ178=1, (DR178-$I178)/365.25*12, IF(DQ178=0, $DL178, "ERROR"))</f>
        <v>29.207392197125259</v>
      </c>
      <c r="DT178" s="7">
        <v>1</v>
      </c>
      <c r="DU178" s="7">
        <v>1</v>
      </c>
      <c r="DV178" s="7">
        <v>0</v>
      </c>
      <c r="DW178" s="16">
        <f>DU178*(1-DV178)</f>
        <v>1</v>
      </c>
      <c r="DX178" s="16">
        <f>(1-DU178)*DV178</f>
        <v>0</v>
      </c>
      <c r="DY178" s="16">
        <f>DU178*DV178</f>
        <v>0</v>
      </c>
      <c r="DZ178" s="3">
        <v>44162</v>
      </c>
      <c r="EA178" s="10">
        <f>IF(DT178=1, (DZ178-$I178)/365.25*12, IF(DT178=0, $DL178, "ERROR"))</f>
        <v>23.227926078028744</v>
      </c>
      <c r="EB178" s="7">
        <v>1</v>
      </c>
      <c r="EC178" s="7">
        <v>0</v>
      </c>
      <c r="ED178" s="16">
        <f>1-((1-DQ178)*(1-DT178))</f>
        <v>1</v>
      </c>
      <c r="EE178" s="11">
        <f>MIN(DR178,DZ178)</f>
        <v>44162</v>
      </c>
      <c r="EF178" s="1" t="s">
        <v>599</v>
      </c>
      <c r="EG178" s="7" t="s">
        <v>357</v>
      </c>
      <c r="EH178" s="1" t="s">
        <v>357</v>
      </c>
      <c r="EI178" s="7">
        <v>1</v>
      </c>
      <c r="EJ178" s="16">
        <f>(1-DQ178)*DX178*(1-EI178)</f>
        <v>0</v>
      </c>
      <c r="EK178" s="3">
        <v>44162</v>
      </c>
      <c r="EL178" s="10">
        <f>IF(EI178=1, (EK178-$I178)/365.25*12, IF(EI178=0, $DL178, "ERROR"))</f>
        <v>23.227926078028744</v>
      </c>
      <c r="EM178" s="1" t="s">
        <v>598</v>
      </c>
      <c r="EN178" s="7">
        <v>1</v>
      </c>
      <c r="EO178" s="7">
        <v>0</v>
      </c>
      <c r="EP178" s="7">
        <v>0</v>
      </c>
      <c r="EQ178" s="7">
        <v>0</v>
      </c>
      <c r="ER178" s="7">
        <v>0</v>
      </c>
      <c r="ES178" s="7">
        <v>0</v>
      </c>
      <c r="ET178" s="7">
        <v>0</v>
      </c>
      <c r="EU178" s="7">
        <v>0</v>
      </c>
      <c r="EV178" s="7">
        <v>0</v>
      </c>
      <c r="EW178" s="1">
        <f>1-((1-EP178)*(1-ET178)*(1-EU178)*(1-EV178))</f>
        <v>0</v>
      </c>
      <c r="EX178" s="7">
        <v>0</v>
      </c>
      <c r="EY178" s="7">
        <v>0</v>
      </c>
      <c r="EZ178" s="7">
        <v>0</v>
      </c>
      <c r="FA178" s="7">
        <v>0</v>
      </c>
      <c r="FB178" s="1" t="s">
        <v>357</v>
      </c>
      <c r="FC178" s="1">
        <v>0</v>
      </c>
      <c r="FD178" s="1">
        <v>1</v>
      </c>
      <c r="FF178" s="1" t="s">
        <v>45</v>
      </c>
      <c r="FG178" s="3">
        <f>IF(FC178=1, FF178, IF(FD178=1, 44348, DJ178))</f>
        <v>44348</v>
      </c>
      <c r="FH178" s="13">
        <f>(FG178-I178)/365.25*12</f>
        <v>29.338809034907598</v>
      </c>
      <c r="FI178" s="13"/>
      <c r="FJ178" s="14">
        <f>IF(OR(DM178,FC178), 1, 0)</f>
        <v>1</v>
      </c>
      <c r="FK178" s="11">
        <f>IF(DM178=1,IF(FC178=1,MIN(DO178,FF178),DO178),IF(FC178=1,FF178,DJ178))</f>
        <v>44162</v>
      </c>
      <c r="FL178" s="13">
        <f>(FK178-$I178)/365.25*12</f>
        <v>23.227926078028744</v>
      </c>
      <c r="FM178" s="14">
        <f>IF(OR(ED178,FC178), 1, 0)</f>
        <v>1</v>
      </c>
      <c r="FN178" s="11">
        <f>IF(ED178=1,IF(FC178=1,MIN(EE178,FF178),EE178),IF(FC178=1,FF178,DJ178))</f>
        <v>44162</v>
      </c>
      <c r="FO178" s="13">
        <f>(FN178-$I178)/365.25*12</f>
        <v>23.227926078028744</v>
      </c>
      <c r="FP178" s="14">
        <f>IF(OR(EI178,FC178), 1, 0)</f>
        <v>1</v>
      </c>
      <c r="FQ178" s="11">
        <f>IF(EI178=1,IF(FC178=1,MIN(EK178,FF178),EK178),IF(FC178=1,FF178,DJ178))</f>
        <v>44162</v>
      </c>
      <c r="FR178" s="13">
        <f>(FQ178-$I178)/365.25*12</f>
        <v>23.227926078028744</v>
      </c>
      <c r="FU178" s="1">
        <v>0</v>
      </c>
      <c r="FV178" s="1">
        <v>0</v>
      </c>
      <c r="FW178" s="1">
        <v>0</v>
      </c>
      <c r="FX178" s="1">
        <v>0</v>
      </c>
    </row>
    <row r="179" spans="1:182" ht="12.75" hidden="1" customHeight="1">
      <c r="A179" s="1" t="s">
        <v>597</v>
      </c>
      <c r="B179" s="12" t="s">
        <v>596</v>
      </c>
      <c r="C179" s="12">
        <v>35518932</v>
      </c>
      <c r="D179" s="12">
        <v>0</v>
      </c>
      <c r="E179" s="12">
        <v>0</v>
      </c>
      <c r="F179" s="12"/>
      <c r="G179" s="12">
        <v>1</v>
      </c>
      <c r="H179" s="21" t="s">
        <v>595</v>
      </c>
      <c r="I179" s="11">
        <v>39002</v>
      </c>
      <c r="J179" s="11">
        <v>38986</v>
      </c>
      <c r="K179" s="11">
        <v>15691</v>
      </c>
      <c r="L179" s="20">
        <f>(DAYS360(K179,I179))/365</f>
        <v>62.947945205479449</v>
      </c>
      <c r="M179" s="12" t="s">
        <v>370</v>
      </c>
      <c r="N179" s="12">
        <v>1</v>
      </c>
      <c r="O179" s="12">
        <v>0</v>
      </c>
      <c r="P179" s="12" t="s">
        <v>423</v>
      </c>
      <c r="Q179" s="12">
        <v>1</v>
      </c>
      <c r="R179" s="12" t="s">
        <v>594</v>
      </c>
      <c r="S179" s="12" t="s">
        <v>593</v>
      </c>
      <c r="T179" s="12" t="s">
        <v>432</v>
      </c>
      <c r="U179" s="12">
        <v>0</v>
      </c>
      <c r="V179" s="12">
        <v>1</v>
      </c>
      <c r="W179" s="12">
        <v>1</v>
      </c>
      <c r="X179" s="12" t="s">
        <v>367</v>
      </c>
      <c r="Y179" s="12">
        <v>3</v>
      </c>
      <c r="Z179" s="12">
        <v>1</v>
      </c>
      <c r="AA179" s="12" t="s">
        <v>366</v>
      </c>
      <c r="AB179" s="12" t="s">
        <v>365</v>
      </c>
      <c r="AC179" s="12">
        <v>3</v>
      </c>
      <c r="AD179" s="12" t="s">
        <v>592</v>
      </c>
      <c r="AE179" s="12"/>
      <c r="AF179" s="12">
        <v>0</v>
      </c>
      <c r="AG179" s="12">
        <v>0</v>
      </c>
      <c r="AH179" s="12">
        <v>0</v>
      </c>
      <c r="AI179" s="11">
        <v>39002</v>
      </c>
      <c r="AJ179" s="11">
        <v>39036</v>
      </c>
      <c r="AK179" s="19" t="s">
        <v>554</v>
      </c>
      <c r="AL179" s="19" t="s">
        <v>357</v>
      </c>
      <c r="AM179" s="12">
        <v>0</v>
      </c>
      <c r="AN179" s="12">
        <v>0</v>
      </c>
      <c r="AO179" s="12">
        <v>0</v>
      </c>
      <c r="AP179" s="12">
        <v>0</v>
      </c>
      <c r="AQ179" s="12">
        <v>0</v>
      </c>
      <c r="AR179" s="12">
        <v>0</v>
      </c>
      <c r="AS179" s="12"/>
      <c r="AT179" s="12"/>
      <c r="AU179" s="19" t="s">
        <v>357</v>
      </c>
      <c r="AV179" s="19" t="s">
        <v>357</v>
      </c>
      <c r="AW179" s="19"/>
      <c r="AX179" s="19" t="s">
        <v>357</v>
      </c>
      <c r="AY179" s="19" t="s">
        <v>357</v>
      </c>
      <c r="AZ179" s="19" t="s">
        <v>357</v>
      </c>
      <c r="BA179" s="12"/>
      <c r="BB179" s="19"/>
      <c r="BC179" s="19"/>
      <c r="BD179" s="19"/>
      <c r="BE179" s="19"/>
      <c r="BF179" s="12" t="s">
        <v>591</v>
      </c>
      <c r="BG179" s="12">
        <v>45</v>
      </c>
      <c r="BH179" s="12">
        <v>45</v>
      </c>
      <c r="BI179" s="12">
        <v>0</v>
      </c>
      <c r="BJ179" s="12">
        <v>0</v>
      </c>
      <c r="BK179" s="12">
        <f>BH179+BI179</f>
        <v>45</v>
      </c>
      <c r="BL179" s="12">
        <v>25</v>
      </c>
      <c r="BM179" s="12">
        <v>1.8</v>
      </c>
      <c r="BN179" s="12" t="s">
        <v>590</v>
      </c>
      <c r="BO179" s="12">
        <v>0</v>
      </c>
      <c r="BP179" s="12">
        <v>1</v>
      </c>
      <c r="BQ179" s="12">
        <v>1</v>
      </c>
      <c r="BR179" s="11">
        <v>39007</v>
      </c>
      <c r="BS179" s="12" t="s">
        <v>91</v>
      </c>
      <c r="BT179" s="12" t="s">
        <v>90</v>
      </c>
      <c r="BU179" s="12">
        <v>2</v>
      </c>
      <c r="BV179" s="12">
        <v>1</v>
      </c>
      <c r="BW179" s="12">
        <v>8.3000000000000007</v>
      </c>
      <c r="BX179" s="12">
        <v>0.78500000000000003</v>
      </c>
      <c r="BY179" s="12">
        <v>0.13300000000000001</v>
      </c>
      <c r="BZ179" s="12">
        <v>12.7</v>
      </c>
      <c r="CA179" s="12">
        <v>359</v>
      </c>
      <c r="CB179" s="12">
        <v>1.87</v>
      </c>
      <c r="CC179" s="12"/>
      <c r="CD179" s="12">
        <v>4.8</v>
      </c>
      <c r="CE179" s="12">
        <v>0</v>
      </c>
      <c r="CF179" s="11" t="s">
        <v>589</v>
      </c>
      <c r="CH179" s="12" t="s">
        <v>588</v>
      </c>
      <c r="CI179" s="12" t="s">
        <v>45</v>
      </c>
      <c r="CJ179" s="12" t="s">
        <v>45</v>
      </c>
      <c r="CK179" s="12" t="s">
        <v>357</v>
      </c>
      <c r="CL179" s="12" t="s">
        <v>357</v>
      </c>
      <c r="CM179" s="12" t="s">
        <v>357</v>
      </c>
      <c r="CN179" s="12"/>
      <c r="CO179" s="12" t="s">
        <v>357</v>
      </c>
      <c r="CP179" s="12"/>
      <c r="CQ179" s="12" t="s">
        <v>357</v>
      </c>
      <c r="CR179" s="12" t="s">
        <v>45</v>
      </c>
      <c r="CS179" s="12" t="s">
        <v>357</v>
      </c>
      <c r="CT179" s="12" t="s">
        <v>357</v>
      </c>
      <c r="CU179" s="12" t="s">
        <v>357</v>
      </c>
      <c r="CV179" s="12" t="s">
        <v>357</v>
      </c>
      <c r="CW179" s="12" t="s">
        <v>357</v>
      </c>
      <c r="CX179" s="12" t="s">
        <v>357</v>
      </c>
      <c r="CY179" s="12" t="s">
        <v>357</v>
      </c>
      <c r="CZ179" s="12" t="s">
        <v>357</v>
      </c>
      <c r="DA179" s="12" t="s">
        <v>357</v>
      </c>
      <c r="DB179" s="13" t="s">
        <v>45</v>
      </c>
      <c r="DC179" s="12" t="s">
        <v>357</v>
      </c>
      <c r="DD179" s="12" t="s">
        <v>357</v>
      </c>
      <c r="DE179" s="12" t="s">
        <v>357</v>
      </c>
      <c r="DF179" s="12" t="s">
        <v>357</v>
      </c>
      <c r="DG179" s="12" t="s">
        <v>357</v>
      </c>
      <c r="DH179" s="16">
        <v>0</v>
      </c>
      <c r="DI179" s="16">
        <v>0</v>
      </c>
      <c r="DJ179" s="11">
        <v>39118</v>
      </c>
      <c r="DK179" s="11" t="s">
        <v>389</v>
      </c>
      <c r="DL179" s="12">
        <f>(DJ179-I179)/365.25*12</f>
        <v>3.8110882956878851</v>
      </c>
      <c r="DM179" s="12">
        <v>1</v>
      </c>
      <c r="DN179" s="12" t="s">
        <v>587</v>
      </c>
      <c r="DO179" s="11">
        <v>39087</v>
      </c>
      <c r="DP179" s="11" t="s">
        <v>45</v>
      </c>
      <c r="DQ179" s="16">
        <v>0</v>
      </c>
      <c r="DR179" s="11" t="s">
        <v>45</v>
      </c>
      <c r="DS179" s="10">
        <f>IF(DQ179=1, (DR179-$I179)/365.25*12, IF(DQ179=0, $DL179, "ERROR"))</f>
        <v>3.8110882956878851</v>
      </c>
      <c r="DT179" s="16">
        <v>0</v>
      </c>
      <c r="DU179" s="16">
        <v>0</v>
      </c>
      <c r="DV179" s="16">
        <v>0</v>
      </c>
      <c r="DW179" s="16">
        <f>DU179*(1-DV179)</f>
        <v>0</v>
      </c>
      <c r="DX179" s="16">
        <f>(1-DU179)*DV179</f>
        <v>0</v>
      </c>
      <c r="DY179" s="16">
        <f>DU179*DV179</f>
        <v>0</v>
      </c>
      <c r="DZ179" s="11" t="s">
        <v>45</v>
      </c>
      <c r="EA179" s="10">
        <f>IF(DT179=1, (DZ179-$I179)/365.25*12, IF(DT179=0, $DL179, "ERROR"))</f>
        <v>3.8110882956878851</v>
      </c>
      <c r="EB179" s="16">
        <v>0</v>
      </c>
      <c r="EC179" s="16">
        <v>0</v>
      </c>
      <c r="ED179" s="16">
        <f>1-((1-DQ179)*(1-DT179))</f>
        <v>0</v>
      </c>
      <c r="EE179" s="11" t="s">
        <v>45</v>
      </c>
      <c r="EF179" s="11" t="s">
        <v>586</v>
      </c>
      <c r="EG179" s="16" t="s">
        <v>45</v>
      </c>
      <c r="EH179" s="11" t="s">
        <v>45</v>
      </c>
      <c r="EI179" s="12">
        <v>1</v>
      </c>
      <c r="EJ179" s="16">
        <f>(1-DQ179)*DX179*(1-EI179)</f>
        <v>0</v>
      </c>
      <c r="EK179" s="11">
        <v>39087</v>
      </c>
      <c r="EL179" s="10">
        <f>IF(EI179=1, (EK179-$I179)/365.25*12, IF(EI179=0, $DL179, "ERROR"))</f>
        <v>2.792607802874743</v>
      </c>
      <c r="EM179" s="11" t="s">
        <v>585</v>
      </c>
      <c r="EN179" s="11"/>
      <c r="EO179" s="11"/>
      <c r="EP179" s="11"/>
      <c r="EQ179" s="11"/>
      <c r="ER179" s="11"/>
      <c r="ES179" s="11"/>
      <c r="ET179" s="11"/>
      <c r="EU179" s="11"/>
      <c r="EV179" s="11"/>
      <c r="EW179" s="11"/>
      <c r="EX179" s="16">
        <v>0</v>
      </c>
      <c r="EY179" s="16"/>
      <c r="EZ179" s="16"/>
      <c r="FA179" s="16"/>
      <c r="FB179" s="11" t="s">
        <v>45</v>
      </c>
      <c r="FC179" s="12">
        <v>1</v>
      </c>
      <c r="FD179" s="12">
        <v>1</v>
      </c>
      <c r="FE179" s="11"/>
      <c r="FF179" s="18">
        <v>39314</v>
      </c>
      <c r="FG179" s="3">
        <f>IF(FC179=1, FF179, IF(FD179=1, 44348, DJ179))</f>
        <v>39314</v>
      </c>
      <c r="FH179" s="13">
        <f>(FG179-I179)/365.25*12</f>
        <v>10.250513347022586</v>
      </c>
      <c r="FI179" s="13"/>
      <c r="FJ179" s="14">
        <f>IF(OR(DM179,FC179), 1, 0)</f>
        <v>1</v>
      </c>
      <c r="FK179" s="11">
        <f>IF(DM179=1,IF(FC179=1,MIN(DO179,FF179),DO179),IF(FC179=1,FF179,DJ179))</f>
        <v>39087</v>
      </c>
      <c r="FL179" s="13">
        <f>(FK179-$I179)/365.25*12</f>
        <v>2.792607802874743</v>
      </c>
      <c r="FM179" s="14">
        <f>IF(OR(ED179,FC179), 1, 0)</f>
        <v>1</v>
      </c>
      <c r="FN179" s="11">
        <f>IF(ED179=1,IF(FC179=1,MIN(EE179,FF179),EE179),IF(FC179=1,FF179,DJ179))</f>
        <v>39314</v>
      </c>
      <c r="FO179" s="13">
        <f>(FN179-$I179)/365.25*12</f>
        <v>10.250513347022586</v>
      </c>
      <c r="FP179" s="14">
        <f>IF(OR(EI179,FC179), 1, 0)</f>
        <v>1</v>
      </c>
      <c r="FQ179" s="11">
        <f>IF(EI179=1,IF(FC179=1,MIN(EK179,FF179),EK179),IF(FC179=1,FF179,DJ179))</f>
        <v>39087</v>
      </c>
      <c r="FR179" s="13">
        <f>(FQ179-$I179)/365.25*12</f>
        <v>2.792607802874743</v>
      </c>
      <c r="FS179" s="12"/>
      <c r="FT179" s="12"/>
      <c r="FU179" s="12">
        <v>0</v>
      </c>
      <c r="FV179" s="12">
        <v>0</v>
      </c>
      <c r="FW179" s="12">
        <v>0</v>
      </c>
      <c r="FX179" s="12">
        <v>0</v>
      </c>
      <c r="FY179" s="12" t="s">
        <v>584</v>
      </c>
      <c r="FZ179" s="12" t="s">
        <v>583</v>
      </c>
    </row>
    <row r="180" spans="1:182" ht="12.75" hidden="1" customHeight="1">
      <c r="A180" s="1" t="s">
        <v>582</v>
      </c>
      <c r="B180" s="12" t="s">
        <v>581</v>
      </c>
      <c r="C180" s="12">
        <v>36071481</v>
      </c>
      <c r="D180" s="12">
        <v>0</v>
      </c>
      <c r="E180" s="12">
        <v>0</v>
      </c>
      <c r="F180" s="12"/>
      <c r="G180" s="12">
        <v>1</v>
      </c>
      <c r="H180" s="21"/>
      <c r="I180" s="11">
        <v>39202</v>
      </c>
      <c r="J180" s="11">
        <v>39162</v>
      </c>
      <c r="K180" s="11">
        <v>16263</v>
      </c>
      <c r="L180" s="20">
        <f>(DAYS360(K180,I180))/365</f>
        <v>61.945205479452056</v>
      </c>
      <c r="M180" s="12" t="s">
        <v>370</v>
      </c>
      <c r="N180" s="12">
        <v>1</v>
      </c>
      <c r="O180" s="12">
        <v>0</v>
      </c>
      <c r="P180" s="12" t="s">
        <v>423</v>
      </c>
      <c r="Q180" s="12">
        <v>1</v>
      </c>
      <c r="R180" s="12" t="s">
        <v>466</v>
      </c>
      <c r="S180" s="12" t="s">
        <v>580</v>
      </c>
      <c r="T180" s="12" t="s">
        <v>368</v>
      </c>
      <c r="U180" s="12">
        <v>0</v>
      </c>
      <c r="V180" s="12">
        <v>0</v>
      </c>
      <c r="W180" s="12">
        <v>1</v>
      </c>
      <c r="X180" s="12" t="s">
        <v>579</v>
      </c>
      <c r="Y180" s="12">
        <v>3</v>
      </c>
      <c r="Z180" s="12">
        <v>1</v>
      </c>
      <c r="AA180" s="12" t="s">
        <v>96</v>
      </c>
      <c r="AB180" s="12" t="s">
        <v>567</v>
      </c>
      <c r="AC180" s="12">
        <v>5</v>
      </c>
      <c r="AD180" s="12" t="s">
        <v>578</v>
      </c>
      <c r="AE180" s="12"/>
      <c r="AF180" s="12">
        <v>1</v>
      </c>
      <c r="AG180" s="12">
        <v>1</v>
      </c>
      <c r="AH180" s="12">
        <v>0</v>
      </c>
      <c r="AI180" s="11">
        <v>39202</v>
      </c>
      <c r="AJ180" s="11">
        <v>39244</v>
      </c>
      <c r="AK180" s="19" t="s">
        <v>577</v>
      </c>
      <c r="AL180" s="19" t="s">
        <v>357</v>
      </c>
      <c r="AM180" s="12">
        <v>1</v>
      </c>
      <c r="AN180" s="12">
        <v>0</v>
      </c>
      <c r="AO180" s="12">
        <v>0</v>
      </c>
      <c r="AP180" s="12">
        <v>1</v>
      </c>
      <c r="AQ180" s="12">
        <v>0</v>
      </c>
      <c r="AR180" s="12">
        <v>0</v>
      </c>
      <c r="AS180" s="12"/>
      <c r="AT180" s="12"/>
      <c r="AU180" s="19" t="s">
        <v>357</v>
      </c>
      <c r="AV180" s="19" t="s">
        <v>357</v>
      </c>
      <c r="AW180" s="19"/>
      <c r="AX180" s="19" t="s">
        <v>357</v>
      </c>
      <c r="AY180" s="19" t="s">
        <v>357</v>
      </c>
      <c r="AZ180" s="19" t="s">
        <v>357</v>
      </c>
      <c r="BA180" s="12"/>
      <c r="BB180" s="19"/>
      <c r="BC180" s="19"/>
      <c r="BD180" s="19"/>
      <c r="BE180" s="19"/>
      <c r="BF180" s="12" t="s">
        <v>501</v>
      </c>
      <c r="BG180" s="12">
        <v>50.4</v>
      </c>
      <c r="BH180" s="12">
        <v>50.4</v>
      </c>
      <c r="BI180" s="12">
        <v>0</v>
      </c>
      <c r="BJ180" s="12">
        <v>0</v>
      </c>
      <c r="BK180" s="12">
        <f>BH180+BI180</f>
        <v>50.4</v>
      </c>
      <c r="BL180" s="12">
        <v>28</v>
      </c>
      <c r="BM180" s="12">
        <v>1.8</v>
      </c>
      <c r="BN180" s="12" t="s">
        <v>359</v>
      </c>
      <c r="BO180" s="12">
        <v>0</v>
      </c>
      <c r="BP180" s="12">
        <v>1</v>
      </c>
      <c r="BQ180" s="12">
        <v>1</v>
      </c>
      <c r="BR180" s="11">
        <v>39202</v>
      </c>
      <c r="BS180" s="12" t="s">
        <v>576</v>
      </c>
      <c r="BT180" s="12" t="s">
        <v>575</v>
      </c>
      <c r="BU180" s="12">
        <v>5</v>
      </c>
      <c r="BV180" s="12">
        <v>1</v>
      </c>
      <c r="BW180" s="12">
        <v>10.71</v>
      </c>
      <c r="BX180" s="12">
        <v>0.56299999999999994</v>
      </c>
      <c r="BY180" s="12">
        <v>0.33700000000000002</v>
      </c>
      <c r="BZ180" s="12">
        <v>14</v>
      </c>
      <c r="CA180" s="12">
        <v>280</v>
      </c>
      <c r="CB180" s="12">
        <v>1.79</v>
      </c>
      <c r="CC180" s="12">
        <v>6.8</v>
      </c>
      <c r="CD180" s="12">
        <v>4.9000000000000004</v>
      </c>
      <c r="CE180" s="12">
        <v>2</v>
      </c>
      <c r="CF180" s="11" t="s">
        <v>574</v>
      </c>
      <c r="CH180" s="12" t="s">
        <v>357</v>
      </c>
      <c r="CI180" s="12" t="s">
        <v>45</v>
      </c>
      <c r="CJ180" s="12" t="s">
        <v>45</v>
      </c>
      <c r="CK180" s="12" t="s">
        <v>357</v>
      </c>
      <c r="CL180" s="12" t="s">
        <v>357</v>
      </c>
      <c r="CM180" s="12" t="s">
        <v>357</v>
      </c>
      <c r="CN180" s="12"/>
      <c r="CO180" s="12" t="s">
        <v>357</v>
      </c>
      <c r="CP180" s="12"/>
      <c r="CQ180" s="12" t="s">
        <v>357</v>
      </c>
      <c r="CR180" s="12" t="s">
        <v>45</v>
      </c>
      <c r="CS180" s="12" t="s">
        <v>357</v>
      </c>
      <c r="CT180" s="12" t="s">
        <v>357</v>
      </c>
      <c r="CU180" s="12" t="s">
        <v>357</v>
      </c>
      <c r="CV180" s="12" t="s">
        <v>357</v>
      </c>
      <c r="CW180" s="12" t="s">
        <v>357</v>
      </c>
      <c r="CX180" s="12" t="s">
        <v>357</v>
      </c>
      <c r="CY180" s="12" t="s">
        <v>357</v>
      </c>
      <c r="CZ180" s="12" t="s">
        <v>357</v>
      </c>
      <c r="DA180" s="12" t="s">
        <v>357</v>
      </c>
      <c r="DB180" s="13" t="s">
        <v>45</v>
      </c>
      <c r="DC180" s="12" t="s">
        <v>357</v>
      </c>
      <c r="DD180" s="12" t="s">
        <v>357</v>
      </c>
      <c r="DE180" s="12" t="s">
        <v>357</v>
      </c>
      <c r="DF180" s="12" t="s">
        <v>357</v>
      </c>
      <c r="DG180" s="12" t="s">
        <v>357</v>
      </c>
      <c r="DH180" s="16">
        <v>0</v>
      </c>
      <c r="DI180" s="16">
        <v>0</v>
      </c>
      <c r="DJ180" s="11">
        <v>39489</v>
      </c>
      <c r="DK180" s="11" t="s">
        <v>389</v>
      </c>
      <c r="DL180" s="12">
        <f>(DJ180-I180)/365.25*12</f>
        <v>9.4291581108829554</v>
      </c>
      <c r="DM180" s="12">
        <v>1</v>
      </c>
      <c r="DN180" s="12" t="s">
        <v>572</v>
      </c>
      <c r="DO180" s="11">
        <v>39440</v>
      </c>
      <c r="DP180" s="11" t="s">
        <v>45</v>
      </c>
      <c r="DQ180" s="16">
        <v>0</v>
      </c>
      <c r="DR180" s="11" t="s">
        <v>45</v>
      </c>
      <c r="DS180" s="10">
        <f>IF(DQ180=1, (DR180-$I180)/365.25*12, IF(DQ180=0, $DL180, "ERROR"))</f>
        <v>9.4291581108829554</v>
      </c>
      <c r="DT180" s="16">
        <v>0</v>
      </c>
      <c r="DU180" s="16">
        <v>0</v>
      </c>
      <c r="DV180" s="16">
        <v>0</v>
      </c>
      <c r="DW180" s="16">
        <f>DU180*(1-DV180)</f>
        <v>0</v>
      </c>
      <c r="DX180" s="16">
        <f>(1-DU180)*DV180</f>
        <v>0</v>
      </c>
      <c r="DY180" s="16">
        <f>DU180*DV180</f>
        <v>0</v>
      </c>
      <c r="DZ180" s="11" t="s">
        <v>45</v>
      </c>
      <c r="EA180" s="10">
        <f>IF(DT180=1, (DZ180-$I180)/365.25*12, IF(DT180=0, $DL180, "ERROR"))</f>
        <v>9.4291581108829554</v>
      </c>
      <c r="EB180" s="16">
        <v>0</v>
      </c>
      <c r="EC180" s="16">
        <v>0</v>
      </c>
      <c r="ED180" s="16">
        <f>1-((1-DQ180)*(1-DT180))</f>
        <v>0</v>
      </c>
      <c r="EE180" s="11" t="s">
        <v>45</v>
      </c>
      <c r="EF180" s="11" t="s">
        <v>573</v>
      </c>
      <c r="EG180" s="16" t="s">
        <v>45</v>
      </c>
      <c r="EH180" s="11" t="s">
        <v>45</v>
      </c>
      <c r="EI180" s="12">
        <v>1</v>
      </c>
      <c r="EJ180" s="16">
        <f>(1-DQ180)*DX180*(1-EI180)</f>
        <v>0</v>
      </c>
      <c r="EK180" s="11">
        <v>39440</v>
      </c>
      <c r="EL180" s="10">
        <f>IF(EI180=1, (EK180-$I180)/365.25*12, IF(EI180=0, $DL180, "ERROR"))</f>
        <v>7.8193018480492817</v>
      </c>
      <c r="EM180" s="12" t="s">
        <v>572</v>
      </c>
      <c r="EN180" s="12"/>
      <c r="EO180" s="12"/>
      <c r="EP180" s="12"/>
      <c r="EQ180" s="12"/>
      <c r="ER180" s="12"/>
      <c r="ES180" s="12"/>
      <c r="ET180" s="12"/>
      <c r="EU180" s="12"/>
      <c r="EV180" s="12"/>
      <c r="EW180" s="12"/>
      <c r="EX180" s="16">
        <v>0</v>
      </c>
      <c r="EY180" s="16"/>
      <c r="EZ180" s="16"/>
      <c r="FA180" s="16"/>
      <c r="FB180" s="11" t="s">
        <v>45</v>
      </c>
      <c r="FC180" s="12">
        <v>1</v>
      </c>
      <c r="FD180" s="12">
        <v>1</v>
      </c>
      <c r="FE180" s="11"/>
      <c r="FF180" s="18">
        <v>39558</v>
      </c>
      <c r="FG180" s="3">
        <f>IF(FC180=1, FF180, IF(FD180=1, 44348, DJ180))</f>
        <v>39558</v>
      </c>
      <c r="FH180" s="13">
        <f>(FG180-I180)/365.25*12</f>
        <v>11.696098562628336</v>
      </c>
      <c r="FI180" s="13"/>
      <c r="FJ180" s="14">
        <f>IF(OR(DM180,FC180), 1, 0)</f>
        <v>1</v>
      </c>
      <c r="FK180" s="11">
        <f>IF(DM180=1,IF(FC180=1,MIN(DO180,FF180),DO180),IF(FC180=1,FF180,DJ180))</f>
        <v>39440</v>
      </c>
      <c r="FL180" s="13">
        <f>(FK180-$I180)/365.25*12</f>
        <v>7.8193018480492817</v>
      </c>
      <c r="FM180" s="14">
        <f>IF(OR(ED180,FC180), 1, 0)</f>
        <v>1</v>
      </c>
      <c r="FN180" s="11">
        <f>IF(ED180=1,IF(FC180=1,MIN(EE180,FF180),EE180),IF(FC180=1,FF180,DJ180))</f>
        <v>39558</v>
      </c>
      <c r="FO180" s="13">
        <f>(FN180-$I180)/365.25*12</f>
        <v>11.696098562628336</v>
      </c>
      <c r="FP180" s="14">
        <f>IF(OR(EI180,FC180), 1, 0)</f>
        <v>1</v>
      </c>
      <c r="FQ180" s="11">
        <f>IF(EI180=1,IF(FC180=1,MIN(EK180,FF180),EK180),IF(FC180=1,FF180,DJ180))</f>
        <v>39440</v>
      </c>
      <c r="FR180" s="13">
        <f>(FQ180-$I180)/365.25*12</f>
        <v>7.8193018480492817</v>
      </c>
      <c r="FS180" s="12"/>
      <c r="FT180" s="12"/>
      <c r="FU180" s="12">
        <v>0</v>
      </c>
      <c r="FV180" s="12">
        <v>0</v>
      </c>
      <c r="FW180" s="12">
        <v>0</v>
      </c>
      <c r="FX180" s="12">
        <v>0</v>
      </c>
      <c r="FY180" s="12" t="s">
        <v>571</v>
      </c>
      <c r="FZ180" s="12"/>
    </row>
    <row r="181" spans="1:182" ht="12.75" hidden="1" customHeight="1">
      <c r="A181" s="1" t="s">
        <v>570</v>
      </c>
      <c r="B181" s="12" t="s">
        <v>569</v>
      </c>
      <c r="C181" s="12">
        <v>39275934</v>
      </c>
      <c r="D181" s="12">
        <v>0</v>
      </c>
      <c r="E181" s="12">
        <v>0</v>
      </c>
      <c r="F181" s="12"/>
      <c r="G181" s="12">
        <v>1</v>
      </c>
      <c r="H181" s="21"/>
      <c r="I181" s="11">
        <v>40030</v>
      </c>
      <c r="J181" s="11">
        <v>40022</v>
      </c>
      <c r="K181" s="11">
        <v>17866</v>
      </c>
      <c r="L181" s="20">
        <f>(DAYS360(K181,I181))/365</f>
        <v>59.852054794520548</v>
      </c>
      <c r="M181" s="12" t="s">
        <v>370</v>
      </c>
      <c r="N181" s="12">
        <v>1</v>
      </c>
      <c r="O181" s="12">
        <v>0</v>
      </c>
      <c r="P181" s="12" t="s">
        <v>357</v>
      </c>
      <c r="Q181" s="12"/>
      <c r="R181" s="12" t="s">
        <v>466</v>
      </c>
      <c r="S181" s="12">
        <v>25</v>
      </c>
      <c r="T181" s="12" t="s">
        <v>384</v>
      </c>
      <c r="U181" s="12">
        <v>0</v>
      </c>
      <c r="V181" s="12">
        <v>1</v>
      </c>
      <c r="W181" s="12">
        <v>0</v>
      </c>
      <c r="X181" s="12" t="s">
        <v>568</v>
      </c>
      <c r="Y181" s="12"/>
      <c r="Z181" s="12">
        <v>1</v>
      </c>
      <c r="AA181" s="12" t="s">
        <v>96</v>
      </c>
      <c r="AB181" s="12" t="s">
        <v>567</v>
      </c>
      <c r="AC181" s="12">
        <v>5</v>
      </c>
      <c r="AD181" s="12" t="s">
        <v>566</v>
      </c>
      <c r="AE181" s="12"/>
      <c r="AF181" s="12">
        <v>1</v>
      </c>
      <c r="AG181" s="12">
        <v>1</v>
      </c>
      <c r="AH181" s="12">
        <v>1</v>
      </c>
      <c r="AI181" s="11">
        <v>40030</v>
      </c>
      <c r="AJ181" s="11">
        <v>40071</v>
      </c>
      <c r="AK181" s="19" t="s">
        <v>393</v>
      </c>
      <c r="AL181" s="19" t="s">
        <v>392</v>
      </c>
      <c r="AM181" s="12">
        <v>0</v>
      </c>
      <c r="AN181" s="12">
        <v>0</v>
      </c>
      <c r="AO181" s="12">
        <v>0</v>
      </c>
      <c r="AP181" s="12">
        <v>0</v>
      </c>
      <c r="AQ181" s="12">
        <v>0</v>
      </c>
      <c r="AR181" s="12">
        <v>0</v>
      </c>
      <c r="AS181" s="12"/>
      <c r="AT181" s="12"/>
      <c r="AU181" s="12">
        <v>5</v>
      </c>
      <c r="AV181" s="12">
        <v>0.5</v>
      </c>
      <c r="AW181" s="12"/>
      <c r="AX181" s="12">
        <v>2</v>
      </c>
      <c r="AY181" s="12">
        <v>0.5</v>
      </c>
      <c r="AZ181" s="12">
        <v>0.5</v>
      </c>
      <c r="BA181" s="12"/>
      <c r="BB181" s="12"/>
      <c r="BC181" s="12"/>
      <c r="BD181" s="12"/>
      <c r="BE181" s="12"/>
      <c r="BF181" s="12"/>
      <c r="BG181" s="12" t="s">
        <v>360</v>
      </c>
      <c r="BH181" s="12">
        <v>45</v>
      </c>
      <c r="BI181" s="12">
        <v>5.4</v>
      </c>
      <c r="BJ181" s="12">
        <v>1</v>
      </c>
      <c r="BK181" s="12">
        <f>BH181+BI181</f>
        <v>50.4</v>
      </c>
      <c r="BL181" s="12">
        <v>28</v>
      </c>
      <c r="BM181" s="12">
        <v>1.8</v>
      </c>
      <c r="BN181" s="12" t="s">
        <v>359</v>
      </c>
      <c r="BO181" s="12">
        <v>0</v>
      </c>
      <c r="BP181" s="12">
        <v>1</v>
      </c>
      <c r="BQ181" s="12">
        <v>1</v>
      </c>
      <c r="BR181" s="11">
        <v>40030</v>
      </c>
      <c r="BS181" s="12" t="s">
        <v>91</v>
      </c>
      <c r="BT181" s="12" t="s">
        <v>90</v>
      </c>
      <c r="BU181" s="12">
        <v>2</v>
      </c>
      <c r="BV181" s="12">
        <v>1</v>
      </c>
      <c r="BW181" s="12">
        <v>9.99</v>
      </c>
      <c r="BX181" s="12"/>
      <c r="BY181" s="12"/>
      <c r="BZ181" s="12">
        <v>14.2</v>
      </c>
      <c r="CA181" s="12">
        <v>223</v>
      </c>
      <c r="CB181" s="12">
        <v>1.83</v>
      </c>
      <c r="CC181" s="12"/>
      <c r="CD181" s="12"/>
      <c r="CE181" s="12">
        <v>0</v>
      </c>
      <c r="CF181" s="11" t="s">
        <v>565</v>
      </c>
      <c r="CH181" s="12" t="s">
        <v>564</v>
      </c>
      <c r="CI181" s="12" t="s">
        <v>45</v>
      </c>
      <c r="CJ181" s="12" t="s">
        <v>45</v>
      </c>
      <c r="CK181" s="12" t="s">
        <v>357</v>
      </c>
      <c r="CL181" s="12" t="s">
        <v>357</v>
      </c>
      <c r="CM181" s="12" t="s">
        <v>357</v>
      </c>
      <c r="CN181" s="12"/>
      <c r="CO181" s="12" t="s">
        <v>357</v>
      </c>
      <c r="CP181" s="12"/>
      <c r="CQ181" s="12" t="s">
        <v>357</v>
      </c>
      <c r="CR181" s="12" t="s">
        <v>45</v>
      </c>
      <c r="CS181" s="12" t="s">
        <v>357</v>
      </c>
      <c r="CT181" s="12" t="s">
        <v>357</v>
      </c>
      <c r="CU181" s="12" t="s">
        <v>357</v>
      </c>
      <c r="CV181" s="12" t="s">
        <v>357</v>
      </c>
      <c r="CW181" s="12" t="s">
        <v>357</v>
      </c>
      <c r="CX181" s="12" t="s">
        <v>357</v>
      </c>
      <c r="CY181" s="12" t="s">
        <v>357</v>
      </c>
      <c r="CZ181" s="12" t="s">
        <v>357</v>
      </c>
      <c r="DA181" s="12" t="s">
        <v>357</v>
      </c>
      <c r="DB181" s="13" t="s">
        <v>45</v>
      </c>
      <c r="DC181" s="12" t="s">
        <v>357</v>
      </c>
      <c r="DD181" s="12" t="s">
        <v>357</v>
      </c>
      <c r="DE181" s="12" t="s">
        <v>357</v>
      </c>
      <c r="DF181" s="12" t="s">
        <v>357</v>
      </c>
      <c r="DG181" s="12" t="s">
        <v>357</v>
      </c>
      <c r="DH181" s="16">
        <v>0</v>
      </c>
      <c r="DI181" s="16">
        <v>0</v>
      </c>
      <c r="DJ181" s="11">
        <v>40260</v>
      </c>
      <c r="DK181" s="12" t="s">
        <v>389</v>
      </c>
      <c r="DL181" s="12">
        <f>(DJ181-I181)/365.25*12</f>
        <v>7.5564681724845997</v>
      </c>
      <c r="DM181" s="12">
        <v>1</v>
      </c>
      <c r="DN181" s="12" t="s">
        <v>563</v>
      </c>
      <c r="DO181" s="11">
        <v>40085</v>
      </c>
      <c r="DP181" s="12" t="s">
        <v>562</v>
      </c>
      <c r="DQ181" s="16">
        <v>0</v>
      </c>
      <c r="DR181" s="11" t="s">
        <v>45</v>
      </c>
      <c r="DS181" s="10">
        <f>IF(DQ181=1, (DR181-$I181)/365.25*12, IF(DQ181=0, $DL181, "ERROR"))</f>
        <v>7.5564681724845997</v>
      </c>
      <c r="DT181" s="16">
        <v>1</v>
      </c>
      <c r="DU181" s="16">
        <v>1</v>
      </c>
      <c r="DV181" s="16">
        <v>0</v>
      </c>
      <c r="DW181" s="16">
        <f>DU181*(1-DV181)</f>
        <v>1</v>
      </c>
      <c r="DX181" s="16">
        <f>(1-DU181)*DV181</f>
        <v>0</v>
      </c>
      <c r="DY181" s="16">
        <f>DU181*DV181</f>
        <v>0</v>
      </c>
      <c r="DZ181" s="11">
        <v>40245</v>
      </c>
      <c r="EA181" s="10">
        <f>IF(DT181=1, (DZ181-$I181)/365.25*12, IF(DT181=0, $DL181, "ERROR"))</f>
        <v>7.0636550308008221</v>
      </c>
      <c r="EB181" s="16">
        <v>1</v>
      </c>
      <c r="EC181" s="16">
        <v>0</v>
      </c>
      <c r="ED181" s="16">
        <f>1-((1-DQ181)*(1-DT181))</f>
        <v>1</v>
      </c>
      <c r="EE181" s="11">
        <f>MIN(DR181,DZ181)</f>
        <v>40245</v>
      </c>
      <c r="EF181" s="12" t="s">
        <v>561</v>
      </c>
      <c r="EG181" s="16" t="s">
        <v>45</v>
      </c>
      <c r="EH181" s="12" t="s">
        <v>45</v>
      </c>
      <c r="EI181" s="12">
        <v>1</v>
      </c>
      <c r="EJ181" s="16">
        <f>(1-DQ181)*DX181*(1-EI181)</f>
        <v>0</v>
      </c>
      <c r="EK181" s="11">
        <v>40085</v>
      </c>
      <c r="EL181" s="10">
        <f>IF(EI181=1, (EK181-$I181)/365.25*12, IF(EI181=0, $DL181, "ERROR"))</f>
        <v>1.8069815195071868</v>
      </c>
      <c r="EM181" s="12" t="s">
        <v>560</v>
      </c>
      <c r="EN181" s="12"/>
      <c r="EO181" s="12"/>
      <c r="EP181" s="12"/>
      <c r="EQ181" s="12"/>
      <c r="ER181" s="12"/>
      <c r="ES181" s="12"/>
      <c r="ET181" s="12"/>
      <c r="EU181" s="12"/>
      <c r="EV181" s="12"/>
      <c r="EW181" s="12"/>
      <c r="EX181" s="16">
        <v>0</v>
      </c>
      <c r="EY181" s="16"/>
      <c r="EZ181" s="16"/>
      <c r="FA181" s="16"/>
      <c r="FB181" s="12" t="s">
        <v>45</v>
      </c>
      <c r="FC181" s="12">
        <v>1</v>
      </c>
      <c r="FD181" s="12">
        <v>1</v>
      </c>
      <c r="FE181" s="12"/>
      <c r="FF181" s="18">
        <v>40273</v>
      </c>
      <c r="FG181" s="3">
        <f>IF(FC181=1, FF181, IF(FD181=1, 44348, DJ181))</f>
        <v>40273</v>
      </c>
      <c r="FH181" s="13">
        <f>(FG181-I181)/365.25*12</f>
        <v>7.9835728952772076</v>
      </c>
      <c r="FI181" s="13"/>
      <c r="FJ181" s="14">
        <f>IF(OR(DM181,FC181), 1, 0)</f>
        <v>1</v>
      </c>
      <c r="FK181" s="11">
        <f>IF(DM181=1,IF(FC181=1,MIN(DO181,FF181),DO181),IF(FC181=1,FF181,DJ181))</f>
        <v>40085</v>
      </c>
      <c r="FL181" s="13">
        <f>(FK181-$I181)/365.25*12</f>
        <v>1.8069815195071868</v>
      </c>
      <c r="FM181" s="14">
        <f>IF(OR(ED181,FC181), 1, 0)</f>
        <v>1</v>
      </c>
      <c r="FN181" s="11">
        <f>IF(ED181=1,IF(FC181=1,MIN(EE181,FF181),EE181),IF(FC181=1,FF181,DJ181))</f>
        <v>40245</v>
      </c>
      <c r="FO181" s="13">
        <f>(FN181-$I181)/365.25*12</f>
        <v>7.0636550308008221</v>
      </c>
      <c r="FP181" s="14">
        <f>IF(OR(EI181,FC181), 1, 0)</f>
        <v>1</v>
      </c>
      <c r="FQ181" s="11">
        <f>IF(EI181=1,IF(FC181=1,MIN(EK181,FF181),EK181),IF(FC181=1,FF181,DJ181))</f>
        <v>40085</v>
      </c>
      <c r="FR181" s="13">
        <f>(FQ181-$I181)/365.25*12</f>
        <v>1.8069815195071868</v>
      </c>
      <c r="FS181" s="12"/>
      <c r="FT181" s="12"/>
      <c r="FU181" s="12">
        <v>0</v>
      </c>
      <c r="FV181" s="12">
        <v>0</v>
      </c>
      <c r="FW181" s="12">
        <v>0</v>
      </c>
      <c r="FX181" s="12">
        <v>0</v>
      </c>
      <c r="FY181" s="12" t="s">
        <v>559</v>
      </c>
      <c r="FZ181" s="12"/>
    </row>
    <row r="182" spans="1:182" ht="12.75" hidden="1" customHeight="1">
      <c r="A182" s="1" t="s">
        <v>558</v>
      </c>
      <c r="B182" s="12" t="s">
        <v>557</v>
      </c>
      <c r="C182" s="12">
        <v>35853039</v>
      </c>
      <c r="D182" s="12">
        <v>0</v>
      </c>
      <c r="E182" s="12">
        <v>0</v>
      </c>
      <c r="F182" s="12"/>
      <c r="G182" s="12">
        <v>1</v>
      </c>
      <c r="H182" s="21"/>
      <c r="I182" s="11">
        <v>40114</v>
      </c>
      <c r="J182" s="11">
        <v>40093</v>
      </c>
      <c r="K182" s="11">
        <v>15462</v>
      </c>
      <c r="L182" s="20">
        <f>(DAYS360(K182,I182))/365</f>
        <v>66.567123287671237</v>
      </c>
      <c r="M182" s="12" t="s">
        <v>370</v>
      </c>
      <c r="N182" s="12">
        <v>2</v>
      </c>
      <c r="O182" s="12">
        <v>0</v>
      </c>
      <c r="P182" s="12" t="s">
        <v>423</v>
      </c>
      <c r="Q182" s="12">
        <v>1</v>
      </c>
      <c r="R182" s="12" t="s">
        <v>556</v>
      </c>
      <c r="S182" s="12" t="s">
        <v>555</v>
      </c>
      <c r="T182" s="12" t="s">
        <v>432</v>
      </c>
      <c r="U182" s="12">
        <v>0</v>
      </c>
      <c r="V182" s="12">
        <v>1</v>
      </c>
      <c r="W182" s="12">
        <v>1</v>
      </c>
      <c r="X182" s="12" t="s">
        <v>367</v>
      </c>
      <c r="Y182" s="12">
        <v>3</v>
      </c>
      <c r="Z182" s="12">
        <v>1</v>
      </c>
      <c r="AA182" s="12" t="s">
        <v>366</v>
      </c>
      <c r="AB182" s="12" t="s">
        <v>365</v>
      </c>
      <c r="AC182" s="12">
        <v>3</v>
      </c>
      <c r="AD182" s="12">
        <v>8</v>
      </c>
      <c r="AE182" s="12"/>
      <c r="AF182" s="12">
        <v>0</v>
      </c>
      <c r="AG182" s="12">
        <v>0</v>
      </c>
      <c r="AH182" s="12">
        <v>0</v>
      </c>
      <c r="AI182" s="11">
        <v>40114</v>
      </c>
      <c r="AJ182" s="11">
        <v>40154</v>
      </c>
      <c r="AK182" s="19" t="s">
        <v>554</v>
      </c>
      <c r="AL182" s="19" t="s">
        <v>553</v>
      </c>
      <c r="AM182" s="12">
        <v>0</v>
      </c>
      <c r="AN182" s="12">
        <v>0</v>
      </c>
      <c r="AO182" s="12">
        <v>0</v>
      </c>
      <c r="AP182" s="12">
        <v>0</v>
      </c>
      <c r="AQ182" s="12">
        <v>0</v>
      </c>
      <c r="AR182" s="12">
        <v>0</v>
      </c>
      <c r="AS182" s="12"/>
      <c r="AT182" s="12"/>
      <c r="AU182" s="12">
        <v>5</v>
      </c>
      <c r="AV182" s="12">
        <v>1</v>
      </c>
      <c r="AW182" s="12"/>
      <c r="AX182" s="12">
        <v>2</v>
      </c>
      <c r="AY182" s="12">
        <v>1</v>
      </c>
      <c r="AZ182" s="12">
        <v>0.5</v>
      </c>
      <c r="BA182" s="12"/>
      <c r="BB182" s="12"/>
      <c r="BC182" s="12"/>
      <c r="BD182" s="12"/>
      <c r="BE182" s="12"/>
      <c r="BF182" s="12" t="s">
        <v>552</v>
      </c>
      <c r="BG182" s="12" t="s">
        <v>360</v>
      </c>
      <c r="BH182" s="12">
        <v>45</v>
      </c>
      <c r="BI182" s="12">
        <v>5.4</v>
      </c>
      <c r="BJ182" s="12">
        <v>1</v>
      </c>
      <c r="BK182" s="12">
        <f>BH182+BI182</f>
        <v>50.4</v>
      </c>
      <c r="BL182" s="12">
        <v>28</v>
      </c>
      <c r="BM182" s="12">
        <v>1.8</v>
      </c>
      <c r="BN182" s="12" t="s">
        <v>359</v>
      </c>
      <c r="BO182" s="12">
        <v>0</v>
      </c>
      <c r="BP182" s="12">
        <v>1</v>
      </c>
      <c r="BQ182" s="12">
        <v>1</v>
      </c>
      <c r="BR182" s="11">
        <v>40133</v>
      </c>
      <c r="BS182" s="12" t="s">
        <v>91</v>
      </c>
      <c r="BT182" s="12" t="s">
        <v>90</v>
      </c>
      <c r="BU182" s="12">
        <v>2</v>
      </c>
      <c r="BV182" s="12">
        <v>1</v>
      </c>
      <c r="BW182" s="12">
        <v>6.05</v>
      </c>
      <c r="BX182" s="12"/>
      <c r="BY182" s="12"/>
      <c r="BZ182" s="12">
        <v>12.3</v>
      </c>
      <c r="CA182" s="12">
        <v>176</v>
      </c>
      <c r="CB182" s="12">
        <v>1.73</v>
      </c>
      <c r="CC182" s="12"/>
      <c r="CD182" s="12"/>
      <c r="CE182" s="12">
        <v>0</v>
      </c>
      <c r="CF182" s="11" t="s">
        <v>551</v>
      </c>
      <c r="CH182" s="12" t="s">
        <v>376</v>
      </c>
      <c r="CI182" s="12" t="s">
        <v>45</v>
      </c>
      <c r="CJ182" s="12" t="s">
        <v>45</v>
      </c>
      <c r="CK182" s="12" t="s">
        <v>357</v>
      </c>
      <c r="CL182" s="12" t="s">
        <v>357</v>
      </c>
      <c r="CM182" s="12" t="s">
        <v>357</v>
      </c>
      <c r="CN182" s="12"/>
      <c r="CO182" s="12" t="s">
        <v>357</v>
      </c>
      <c r="CP182" s="12"/>
      <c r="CQ182" s="12" t="s">
        <v>357</v>
      </c>
      <c r="CR182" s="12" t="s">
        <v>45</v>
      </c>
      <c r="CS182" s="12" t="s">
        <v>357</v>
      </c>
      <c r="CT182" s="12" t="s">
        <v>357</v>
      </c>
      <c r="CU182" s="12" t="s">
        <v>357</v>
      </c>
      <c r="CV182" s="12" t="s">
        <v>357</v>
      </c>
      <c r="CW182" s="12" t="s">
        <v>357</v>
      </c>
      <c r="CX182" s="12" t="s">
        <v>357</v>
      </c>
      <c r="CY182" s="12" t="s">
        <v>357</v>
      </c>
      <c r="CZ182" s="12" t="s">
        <v>357</v>
      </c>
      <c r="DA182" s="12" t="s">
        <v>357</v>
      </c>
      <c r="DB182" s="13" t="s">
        <v>45</v>
      </c>
      <c r="DC182" s="12" t="s">
        <v>357</v>
      </c>
      <c r="DD182" s="12" t="s">
        <v>357</v>
      </c>
      <c r="DE182" s="12" t="s">
        <v>357</v>
      </c>
      <c r="DF182" s="12" t="s">
        <v>357</v>
      </c>
      <c r="DG182" s="12" t="s">
        <v>357</v>
      </c>
      <c r="DH182" s="16">
        <v>0</v>
      </c>
      <c r="DI182" s="16">
        <v>0</v>
      </c>
      <c r="DJ182" s="11">
        <v>40286</v>
      </c>
      <c r="DK182" s="11" t="s">
        <v>389</v>
      </c>
      <c r="DL182" s="12">
        <f>(DJ182-I182)/365.25*12</f>
        <v>5.6509240246406574</v>
      </c>
      <c r="DM182" s="12">
        <v>1</v>
      </c>
      <c r="DN182" s="12" t="s">
        <v>550</v>
      </c>
      <c r="DO182" s="11">
        <v>40148</v>
      </c>
      <c r="DP182" s="11" t="s">
        <v>145</v>
      </c>
      <c r="DQ182" s="16">
        <v>1</v>
      </c>
      <c r="DR182" s="11">
        <v>40220</v>
      </c>
      <c r="DS182" s="10">
        <f>IF(DQ182=1, (DR182-$I182)/365.25*12, IF(DQ182=0, $DL182, "ERROR"))</f>
        <v>3.482546201232033</v>
      </c>
      <c r="DT182" s="16">
        <v>0</v>
      </c>
      <c r="DU182" s="16">
        <v>0</v>
      </c>
      <c r="DV182" s="16">
        <v>0</v>
      </c>
      <c r="DW182" s="16">
        <f>DU182*(1-DV182)</f>
        <v>0</v>
      </c>
      <c r="DX182" s="16">
        <f>(1-DU182)*DV182</f>
        <v>0</v>
      </c>
      <c r="DY182" s="16">
        <f>DU182*DV182</f>
        <v>0</v>
      </c>
      <c r="DZ182" s="11" t="s">
        <v>45</v>
      </c>
      <c r="EA182" s="10">
        <f>IF(DT182=1, (DZ182-$I182)/365.25*12, IF(DT182=0, $DL182, "ERROR"))</f>
        <v>5.6509240246406574</v>
      </c>
      <c r="EB182" s="16">
        <v>0</v>
      </c>
      <c r="EC182" s="16">
        <v>0</v>
      </c>
      <c r="ED182" s="16">
        <f>1-((1-DQ182)*(1-DT182))</f>
        <v>1</v>
      </c>
      <c r="EE182" s="11">
        <f>MIN(DR182,DZ182)</f>
        <v>40220</v>
      </c>
      <c r="EF182" s="11" t="s">
        <v>549</v>
      </c>
      <c r="EG182" s="16" t="s">
        <v>45</v>
      </c>
      <c r="EH182" s="11" t="s">
        <v>45</v>
      </c>
      <c r="EI182" s="12">
        <v>1</v>
      </c>
      <c r="EJ182" s="16">
        <f>(1-DQ182)*DX182*(1-EI182)</f>
        <v>0</v>
      </c>
      <c r="EK182" s="11">
        <v>40148</v>
      </c>
      <c r="EL182" s="10">
        <f>IF(EI182=1, (EK182-$I182)/365.25*12, IF(EI182=0, $DL182, "ERROR"))</f>
        <v>1.1170431211498975</v>
      </c>
      <c r="EM182" s="11" t="s">
        <v>548</v>
      </c>
      <c r="EN182" s="11"/>
      <c r="EO182" s="11"/>
      <c r="EP182" s="11"/>
      <c r="EQ182" s="11"/>
      <c r="ER182" s="11"/>
      <c r="ES182" s="11"/>
      <c r="ET182" s="11"/>
      <c r="EU182" s="11"/>
      <c r="EV182" s="11"/>
      <c r="EW182" s="11"/>
      <c r="EX182" s="16">
        <v>0</v>
      </c>
      <c r="EY182" s="16"/>
      <c r="EZ182" s="16"/>
      <c r="FA182" s="16"/>
      <c r="FB182" s="11" t="s">
        <v>45</v>
      </c>
      <c r="FC182" s="12">
        <v>1</v>
      </c>
      <c r="FD182" s="12">
        <v>1</v>
      </c>
      <c r="FE182" s="11"/>
      <c r="FF182" s="18">
        <v>40234</v>
      </c>
      <c r="FG182" s="3">
        <f>IF(FC182=1, FF182, IF(FD182=1, 44348, DJ182))</f>
        <v>40234</v>
      </c>
      <c r="FH182" s="13">
        <f>(FG182-I182)/365.25*12</f>
        <v>3.9425051334702257</v>
      </c>
      <c r="FI182" s="13"/>
      <c r="FJ182" s="14">
        <f>IF(OR(DM182,FC182), 1, 0)</f>
        <v>1</v>
      </c>
      <c r="FK182" s="11">
        <f>IF(DM182=1,IF(FC182=1,MIN(DO182,FF182),DO182),IF(FC182=1,FF182,DJ182))</f>
        <v>40148</v>
      </c>
      <c r="FL182" s="13">
        <f>(FK182-$I182)/365.25*12</f>
        <v>1.1170431211498975</v>
      </c>
      <c r="FM182" s="14">
        <f>IF(OR(ED182,FC182), 1, 0)</f>
        <v>1</v>
      </c>
      <c r="FN182" s="11">
        <f>IF(ED182=1,IF(FC182=1,MIN(EE182,FF182),EE182),IF(FC182=1,FF182,DJ182))</f>
        <v>40220</v>
      </c>
      <c r="FO182" s="13">
        <f>(FN182-$I182)/365.25*12</f>
        <v>3.482546201232033</v>
      </c>
      <c r="FP182" s="14">
        <f>IF(OR(EI182,FC182), 1, 0)</f>
        <v>1</v>
      </c>
      <c r="FQ182" s="11">
        <f>IF(EI182=1,IF(FC182=1,MIN(EK182,FF182),EK182),IF(FC182=1,FF182,DJ182))</f>
        <v>40148</v>
      </c>
      <c r="FR182" s="13">
        <f>(FQ182-$I182)/365.25*12</f>
        <v>1.1170431211498975</v>
      </c>
      <c r="FS182" s="12"/>
      <c r="FT182" s="12"/>
      <c r="FU182" s="12">
        <v>0</v>
      </c>
      <c r="FV182" s="12">
        <v>0</v>
      </c>
      <c r="FW182" s="12">
        <v>0</v>
      </c>
      <c r="FX182" s="12">
        <v>0</v>
      </c>
      <c r="FY182" s="12" t="s">
        <v>547</v>
      </c>
      <c r="FZ182" s="12"/>
    </row>
    <row r="183" spans="1:182" ht="12.75" hidden="1" customHeight="1">
      <c r="A183" s="1" t="s">
        <v>546</v>
      </c>
      <c r="B183" s="12" t="s">
        <v>545</v>
      </c>
      <c r="C183" s="12">
        <v>40023537</v>
      </c>
      <c r="D183" s="12">
        <v>1</v>
      </c>
      <c r="E183" s="12">
        <v>1</v>
      </c>
      <c r="F183" s="12"/>
      <c r="G183" s="12">
        <v>1</v>
      </c>
      <c r="H183" s="21" t="s">
        <v>158</v>
      </c>
      <c r="I183" s="11">
        <v>40289</v>
      </c>
      <c r="J183" s="11">
        <v>40288</v>
      </c>
      <c r="K183" s="11">
        <v>13675</v>
      </c>
      <c r="L183" s="20">
        <f>(DAYS360(K183,I183))/365</f>
        <v>71.868493150684927</v>
      </c>
      <c r="M183" s="12" t="s">
        <v>370</v>
      </c>
      <c r="N183" s="12">
        <v>1</v>
      </c>
      <c r="O183" s="12">
        <v>1</v>
      </c>
      <c r="P183" s="12" t="s">
        <v>410</v>
      </c>
      <c r="Q183" s="12"/>
      <c r="R183" s="12" t="s">
        <v>544</v>
      </c>
      <c r="S183" s="12" t="s">
        <v>543</v>
      </c>
      <c r="T183" s="12" t="s">
        <v>408</v>
      </c>
      <c r="U183" s="12">
        <v>1</v>
      </c>
      <c r="V183" s="12">
        <v>0</v>
      </c>
      <c r="W183" s="12">
        <v>0</v>
      </c>
      <c r="X183" s="12" t="s">
        <v>542</v>
      </c>
      <c r="Y183" s="12">
        <v>4</v>
      </c>
      <c r="Z183" s="12">
        <v>1</v>
      </c>
      <c r="AA183" s="12" t="s">
        <v>366</v>
      </c>
      <c r="AB183" s="12" t="s">
        <v>541</v>
      </c>
      <c r="AC183" s="12">
        <v>3</v>
      </c>
      <c r="AD183" s="12" t="s">
        <v>540</v>
      </c>
      <c r="AE183" s="12"/>
      <c r="AF183" s="12">
        <v>0</v>
      </c>
      <c r="AG183" s="12"/>
      <c r="AH183" s="12">
        <v>0</v>
      </c>
      <c r="AI183" s="11">
        <v>40289</v>
      </c>
      <c r="AJ183" s="11">
        <v>40338</v>
      </c>
      <c r="AK183" s="19" t="s">
        <v>539</v>
      </c>
      <c r="AL183" s="19" t="s">
        <v>357</v>
      </c>
      <c r="AU183" s="12">
        <v>4.5</v>
      </c>
      <c r="AV183" s="12">
        <v>1</v>
      </c>
      <c r="AW183" s="12"/>
      <c r="AX183" s="12">
        <v>1</v>
      </c>
      <c r="AY183" s="19" t="s">
        <v>357</v>
      </c>
      <c r="AZ183" s="12">
        <v>0.5</v>
      </c>
      <c r="BA183" s="12"/>
      <c r="BB183" s="12"/>
      <c r="BC183" s="12"/>
      <c r="BD183" s="12"/>
      <c r="BE183" s="12"/>
      <c r="BF183" s="12" t="s">
        <v>538</v>
      </c>
      <c r="BG183" s="12">
        <v>52.2</v>
      </c>
      <c r="BH183" s="12">
        <v>52.2</v>
      </c>
      <c r="BI183" s="12">
        <v>0</v>
      </c>
      <c r="BJ183" s="12">
        <v>0</v>
      </c>
      <c r="BK183" s="12">
        <f>BH183+BI183</f>
        <v>52.2</v>
      </c>
      <c r="BL183" s="12">
        <f>BK183/1.8</f>
        <v>29</v>
      </c>
      <c r="BM183" s="12">
        <v>1.8</v>
      </c>
      <c r="BN183" s="12" t="s">
        <v>359</v>
      </c>
      <c r="BO183" s="12">
        <v>0</v>
      </c>
      <c r="BP183" s="12">
        <v>1</v>
      </c>
      <c r="BQ183" s="12">
        <v>1</v>
      </c>
      <c r="BR183" s="11">
        <v>40289</v>
      </c>
      <c r="BS183" s="12" t="s">
        <v>78</v>
      </c>
      <c r="BT183" s="12" t="s">
        <v>77</v>
      </c>
      <c r="BU183" s="12">
        <v>6</v>
      </c>
      <c r="BV183" s="12"/>
      <c r="BW183" s="12">
        <v>6.24</v>
      </c>
      <c r="BX183" s="12"/>
      <c r="BY183" s="12"/>
      <c r="BZ183" s="12">
        <v>12</v>
      </c>
      <c r="CA183" s="12">
        <v>245</v>
      </c>
      <c r="CB183" s="12">
        <v>1.51</v>
      </c>
      <c r="CC183" s="12"/>
      <c r="CD183" s="12"/>
      <c r="CE183" s="12">
        <v>0</v>
      </c>
      <c r="CF183" s="11" t="s">
        <v>417</v>
      </c>
      <c r="CH183" s="12" t="s">
        <v>376</v>
      </c>
      <c r="CI183" s="12" t="s">
        <v>45</v>
      </c>
      <c r="CJ183" s="12" t="s">
        <v>45</v>
      </c>
      <c r="CK183" s="12" t="s">
        <v>357</v>
      </c>
      <c r="CL183" s="12" t="s">
        <v>357</v>
      </c>
      <c r="CM183" s="12" t="s">
        <v>357</v>
      </c>
      <c r="CN183" s="12"/>
      <c r="CO183" s="12" t="s">
        <v>357</v>
      </c>
      <c r="CP183" s="12"/>
      <c r="CQ183" s="12" t="s">
        <v>357</v>
      </c>
      <c r="CR183" s="12"/>
      <c r="CS183" s="12" t="s">
        <v>357</v>
      </c>
      <c r="CT183" s="12" t="s">
        <v>357</v>
      </c>
      <c r="CU183" s="12" t="s">
        <v>357</v>
      </c>
      <c r="CV183" s="12" t="s">
        <v>357</v>
      </c>
      <c r="CW183" s="12" t="s">
        <v>357</v>
      </c>
      <c r="CX183" s="12" t="s">
        <v>357</v>
      </c>
      <c r="CY183" s="12" t="s">
        <v>357</v>
      </c>
      <c r="CZ183" s="12" t="s">
        <v>357</v>
      </c>
      <c r="DA183" s="12" t="s">
        <v>357</v>
      </c>
      <c r="DB183" s="13"/>
      <c r="DC183" s="12" t="s">
        <v>357</v>
      </c>
      <c r="DD183" s="12" t="s">
        <v>357</v>
      </c>
      <c r="DE183" s="12" t="s">
        <v>357</v>
      </c>
      <c r="DF183" s="12" t="s">
        <v>357</v>
      </c>
      <c r="DG183" s="12" t="s">
        <v>357</v>
      </c>
      <c r="DH183" s="16"/>
      <c r="DI183" s="16"/>
      <c r="DJ183" s="11">
        <v>40338</v>
      </c>
      <c r="DK183" s="12" t="s">
        <v>537</v>
      </c>
      <c r="DL183" s="12">
        <f>(DJ183-I183)/365.25*12</f>
        <v>1.6098562628336754</v>
      </c>
      <c r="DM183" s="12">
        <v>1</v>
      </c>
      <c r="DN183" s="12"/>
      <c r="DO183" s="11">
        <v>41445</v>
      </c>
      <c r="DP183" s="12"/>
      <c r="DQ183" s="16"/>
      <c r="DR183" s="11"/>
      <c r="DS183" s="11"/>
      <c r="DT183" s="16"/>
      <c r="DU183" s="16"/>
      <c r="DV183" s="16"/>
      <c r="DW183" s="16"/>
      <c r="DX183" s="16"/>
      <c r="DY183" s="16"/>
      <c r="DZ183" s="11"/>
      <c r="EA183" s="11"/>
      <c r="EB183" s="16"/>
      <c r="EC183" s="16"/>
      <c r="ED183" s="16"/>
      <c r="EE183" s="11"/>
      <c r="EF183" s="12"/>
      <c r="EG183" s="16"/>
      <c r="EH183" s="12"/>
      <c r="EI183" s="16"/>
      <c r="EJ183" s="16"/>
      <c r="EK183" s="12"/>
      <c r="EL183" s="12"/>
      <c r="EM183" s="12"/>
      <c r="EN183" s="12"/>
      <c r="EO183" s="12"/>
      <c r="EP183" s="12"/>
      <c r="EQ183" s="12"/>
      <c r="ER183" s="12"/>
      <c r="ES183" s="12"/>
      <c r="ET183" s="12"/>
      <c r="EU183" s="12"/>
      <c r="EV183" s="12"/>
      <c r="EW183" s="12"/>
      <c r="EX183" s="16"/>
      <c r="EY183" s="16"/>
      <c r="EZ183" s="16"/>
      <c r="FA183" s="16"/>
      <c r="FB183" s="12"/>
      <c r="FC183" s="12">
        <v>1</v>
      </c>
      <c r="FD183" s="12">
        <v>1</v>
      </c>
      <c r="FE183" s="12"/>
      <c r="FF183" s="18">
        <v>41427</v>
      </c>
      <c r="FG183" s="3">
        <f>IF(FC183=1, FF183, IF(FD183=1, 44348, DJ183))</f>
        <v>41427</v>
      </c>
      <c r="FH183" s="13">
        <f>(FG183-I183)/365.25*12</f>
        <v>37.388090349075981</v>
      </c>
      <c r="FI183" s="13"/>
      <c r="FJ183" s="14"/>
      <c r="FK183" s="11"/>
      <c r="FL183" s="13"/>
      <c r="FM183" s="14"/>
      <c r="FN183" s="11"/>
      <c r="FO183" s="13"/>
      <c r="FP183" s="14"/>
      <c r="FQ183" s="11"/>
      <c r="FR183" s="13"/>
      <c r="FS183" s="12"/>
      <c r="FT183" s="12"/>
      <c r="FU183" s="12"/>
      <c r="FV183" s="12"/>
      <c r="FW183" s="12"/>
      <c r="FX183" s="12">
        <v>0</v>
      </c>
      <c r="FY183" s="12" t="s">
        <v>536</v>
      </c>
      <c r="FZ183" s="12" t="s">
        <v>535</v>
      </c>
    </row>
    <row r="184" spans="1:182" ht="12.75" hidden="1" customHeight="1">
      <c r="A184" s="1" t="s">
        <v>534</v>
      </c>
      <c r="B184" s="12" t="s">
        <v>533</v>
      </c>
      <c r="C184" s="12">
        <v>36136977</v>
      </c>
      <c r="D184" s="12">
        <v>0</v>
      </c>
      <c r="E184" s="12">
        <v>0</v>
      </c>
      <c r="F184" s="12"/>
      <c r="G184" s="12">
        <v>1</v>
      </c>
      <c r="H184" s="21"/>
      <c r="I184" s="11">
        <v>40325</v>
      </c>
      <c r="J184" s="11">
        <v>40312</v>
      </c>
      <c r="K184" s="11">
        <v>21417</v>
      </c>
      <c r="L184" s="20">
        <f>(DAYS360(K184,I184))/365</f>
        <v>51.060273972602737</v>
      </c>
      <c r="M184" s="12" t="s">
        <v>370</v>
      </c>
      <c r="N184" s="12">
        <v>1</v>
      </c>
      <c r="O184" s="12">
        <v>0</v>
      </c>
      <c r="P184" s="12" t="s">
        <v>423</v>
      </c>
      <c r="Q184" s="12">
        <v>1</v>
      </c>
      <c r="R184" s="12" t="s">
        <v>532</v>
      </c>
      <c r="S184" s="12" t="s">
        <v>531</v>
      </c>
      <c r="T184" s="12" t="s">
        <v>530</v>
      </c>
      <c r="U184" s="12">
        <v>1</v>
      </c>
      <c r="V184" s="12">
        <v>1</v>
      </c>
      <c r="W184" s="12">
        <v>1</v>
      </c>
      <c r="X184" s="12" t="s">
        <v>529</v>
      </c>
      <c r="Y184" s="12"/>
      <c r="Z184" s="12">
        <v>2</v>
      </c>
      <c r="AA184" s="12" t="s">
        <v>366</v>
      </c>
      <c r="AB184" s="12" t="s">
        <v>365</v>
      </c>
      <c r="AC184" s="12">
        <v>3</v>
      </c>
      <c r="AD184" s="12" t="s">
        <v>528</v>
      </c>
      <c r="AE184" s="12"/>
      <c r="AF184" s="12">
        <v>0</v>
      </c>
      <c r="AG184" s="12">
        <v>0</v>
      </c>
      <c r="AH184" s="12">
        <v>0</v>
      </c>
      <c r="AI184" s="11">
        <v>40325</v>
      </c>
      <c r="AJ184" s="11">
        <v>40365</v>
      </c>
      <c r="AK184" s="19" t="s">
        <v>527</v>
      </c>
      <c r="AL184" s="19" t="s">
        <v>392</v>
      </c>
      <c r="AM184" s="12">
        <v>0</v>
      </c>
      <c r="AN184" s="12">
        <v>0</v>
      </c>
      <c r="AO184" s="12">
        <v>0</v>
      </c>
      <c r="AP184" s="12">
        <v>0</v>
      </c>
      <c r="AQ184" s="12">
        <v>0</v>
      </c>
      <c r="AR184" s="12">
        <v>0</v>
      </c>
      <c r="AS184" s="12"/>
      <c r="AT184" s="12"/>
      <c r="AU184" s="12">
        <v>4.5</v>
      </c>
      <c r="AV184" s="12">
        <v>1</v>
      </c>
      <c r="AW184" s="12"/>
      <c r="AX184" s="12">
        <v>1</v>
      </c>
      <c r="AY184" s="19" t="s">
        <v>357</v>
      </c>
      <c r="AZ184" s="12">
        <v>0.5</v>
      </c>
      <c r="BA184" s="12"/>
      <c r="BB184" s="12"/>
      <c r="BC184" s="12"/>
      <c r="BD184" s="12"/>
      <c r="BE184" s="12"/>
      <c r="BF184" s="12" t="s">
        <v>526</v>
      </c>
      <c r="BG184" s="12" t="s">
        <v>360</v>
      </c>
      <c r="BH184" s="12">
        <v>45</v>
      </c>
      <c r="BI184" s="12">
        <v>5.4</v>
      </c>
      <c r="BJ184" s="12">
        <v>1</v>
      </c>
      <c r="BK184" s="12">
        <f>BH184+BI184</f>
        <v>50.4</v>
      </c>
      <c r="BL184" s="12">
        <v>28</v>
      </c>
      <c r="BM184" s="12">
        <v>1.8</v>
      </c>
      <c r="BN184" s="12" t="s">
        <v>359</v>
      </c>
      <c r="BO184" s="12">
        <v>0</v>
      </c>
      <c r="BP184" s="12">
        <v>1</v>
      </c>
      <c r="BQ184" s="12">
        <v>1</v>
      </c>
      <c r="BR184" s="11">
        <v>40325</v>
      </c>
      <c r="BS184" s="12" t="s">
        <v>78</v>
      </c>
      <c r="BT184" s="12" t="s">
        <v>77</v>
      </c>
      <c r="BU184" s="12">
        <v>6</v>
      </c>
      <c r="BV184" s="12">
        <v>1</v>
      </c>
      <c r="BW184" s="12">
        <v>6.14</v>
      </c>
      <c r="BX184" s="12"/>
      <c r="BY184" s="12"/>
      <c r="BZ184" s="12">
        <v>14.6</v>
      </c>
      <c r="CA184" s="12">
        <v>130</v>
      </c>
      <c r="CB184" s="12">
        <v>1.63</v>
      </c>
      <c r="CC184" s="12"/>
      <c r="CD184" s="12"/>
      <c r="CE184" s="12">
        <v>0</v>
      </c>
      <c r="CF184" s="11" t="s">
        <v>525</v>
      </c>
      <c r="CH184" s="12" t="s">
        <v>376</v>
      </c>
      <c r="CI184" s="12" t="s">
        <v>45</v>
      </c>
      <c r="CJ184" s="12" t="s">
        <v>45</v>
      </c>
      <c r="CK184" s="12" t="s">
        <v>357</v>
      </c>
      <c r="CL184" s="12" t="s">
        <v>357</v>
      </c>
      <c r="CM184" s="12" t="s">
        <v>357</v>
      </c>
      <c r="CN184" s="12"/>
      <c r="CO184" s="12" t="s">
        <v>357</v>
      </c>
      <c r="CP184" s="12"/>
      <c r="CQ184" s="12" t="s">
        <v>357</v>
      </c>
      <c r="CR184" s="12" t="s">
        <v>45</v>
      </c>
      <c r="CS184" s="12" t="s">
        <v>357</v>
      </c>
      <c r="CT184" s="12" t="s">
        <v>357</v>
      </c>
      <c r="CU184" s="12" t="s">
        <v>357</v>
      </c>
      <c r="CV184" s="12" t="s">
        <v>357</v>
      </c>
      <c r="CW184" s="12" t="s">
        <v>357</v>
      </c>
      <c r="CX184" s="12" t="s">
        <v>357</v>
      </c>
      <c r="CY184" s="12" t="s">
        <v>357</v>
      </c>
      <c r="CZ184" s="12" t="s">
        <v>357</v>
      </c>
      <c r="DA184" s="12" t="s">
        <v>357</v>
      </c>
      <c r="DB184" s="13" t="s">
        <v>45</v>
      </c>
      <c r="DC184" s="12" t="s">
        <v>357</v>
      </c>
      <c r="DD184" s="12" t="s">
        <v>357</v>
      </c>
      <c r="DE184" s="12" t="s">
        <v>357</v>
      </c>
      <c r="DF184" s="12" t="s">
        <v>357</v>
      </c>
      <c r="DG184" s="12" t="s">
        <v>357</v>
      </c>
      <c r="DH184" s="16">
        <v>0</v>
      </c>
      <c r="DI184" s="16">
        <v>0</v>
      </c>
      <c r="DJ184" s="11">
        <v>40364</v>
      </c>
      <c r="DK184" s="11"/>
      <c r="DL184" s="12">
        <f>(DJ184-I184)/365.25*12</f>
        <v>1.2813141683778233</v>
      </c>
      <c r="DM184" s="12">
        <v>1</v>
      </c>
      <c r="DN184" s="12" t="s">
        <v>524</v>
      </c>
      <c r="DO184" s="11">
        <v>40364</v>
      </c>
      <c r="DP184" s="11" t="s">
        <v>45</v>
      </c>
      <c r="DQ184" s="16">
        <v>0</v>
      </c>
      <c r="DR184" s="11" t="s">
        <v>45</v>
      </c>
      <c r="DS184" s="10">
        <f>IF(DQ184=1, (DR184-$I184)/365.25*12, IF(DQ184=0, $DL184, "ERROR"))</f>
        <v>1.2813141683778233</v>
      </c>
      <c r="DT184" s="16">
        <v>1</v>
      </c>
      <c r="DU184" s="16">
        <v>1</v>
      </c>
      <c r="DV184" s="16">
        <v>0</v>
      </c>
      <c r="DW184" s="16">
        <f>DU184*(1-DV184)</f>
        <v>1</v>
      </c>
      <c r="DX184" s="16">
        <f>(1-DU184)*DV184</f>
        <v>0</v>
      </c>
      <c r="DY184" s="16">
        <f>DU184*DV184</f>
        <v>0</v>
      </c>
      <c r="DZ184" s="11">
        <v>40449</v>
      </c>
      <c r="EA184" s="10">
        <f>IF(DT184=1, (DZ184-$I184)/365.25*12, IF(DT184=0, $DL184, "ERROR"))</f>
        <v>4.0739219712525667</v>
      </c>
      <c r="EB184" s="16">
        <v>1</v>
      </c>
      <c r="EC184" s="16">
        <v>0</v>
      </c>
      <c r="ED184" s="16">
        <f>1-((1-DQ184)*(1-DT184))</f>
        <v>1</v>
      </c>
      <c r="EE184" s="11">
        <f>MIN(DR184,DZ184)</f>
        <v>40449</v>
      </c>
      <c r="EF184" s="11" t="s">
        <v>45</v>
      </c>
      <c r="EG184" s="16" t="s">
        <v>45</v>
      </c>
      <c r="EH184" s="11" t="s">
        <v>45</v>
      </c>
      <c r="EI184" s="12">
        <v>1</v>
      </c>
      <c r="EJ184" s="16">
        <f>(1-DQ184)*DX184*(1-EI184)</f>
        <v>0</v>
      </c>
      <c r="EK184" s="11">
        <v>40364</v>
      </c>
      <c r="EL184" s="10">
        <f>IF(EI184=1, (EK184-$I184)/365.25*12, IF(EI184=0, $DL184, "ERROR"))</f>
        <v>1.2813141683778233</v>
      </c>
      <c r="EM184" s="11" t="s">
        <v>523</v>
      </c>
      <c r="EN184" s="11"/>
      <c r="EO184" s="11"/>
      <c r="EP184" s="11"/>
      <c r="EQ184" s="11"/>
      <c r="ER184" s="11"/>
      <c r="ES184" s="11"/>
      <c r="ET184" s="11"/>
      <c r="EU184" s="11"/>
      <c r="EV184" s="11"/>
      <c r="EW184" s="11"/>
      <c r="EX184" s="16">
        <v>1</v>
      </c>
      <c r="EY184" s="16"/>
      <c r="EZ184" s="16"/>
      <c r="FA184" s="16"/>
      <c r="FB184" s="11" t="s">
        <v>45</v>
      </c>
      <c r="FC184" s="12">
        <v>1</v>
      </c>
      <c r="FD184" s="12">
        <v>1</v>
      </c>
      <c r="FE184" s="11"/>
      <c r="FF184" s="18">
        <v>40527</v>
      </c>
      <c r="FG184" s="3">
        <f>IF(FC184=1, FF184, IF(FD184=1, 44348, DJ184))</f>
        <v>40527</v>
      </c>
      <c r="FH184" s="13">
        <f>(FG184-I184)/365.25*12</f>
        <v>6.6365503080082142</v>
      </c>
      <c r="FI184" s="13"/>
      <c r="FJ184" s="14">
        <f>IF(OR(DM184,FC184), 1, 0)</f>
        <v>1</v>
      </c>
      <c r="FK184" s="11">
        <f>IF(DM184=1,IF(FC184=1,MIN(DO184,FF184),DO184),IF(FC184=1,FF184,DJ184))</f>
        <v>40364</v>
      </c>
      <c r="FL184" s="13">
        <f>(FK184-$I184)/365.25*12</f>
        <v>1.2813141683778233</v>
      </c>
      <c r="FM184" s="14">
        <f>IF(OR(ED184,FC184), 1, 0)</f>
        <v>1</v>
      </c>
      <c r="FN184" s="11">
        <f>IF(ED184=1,IF(FC184=1,MIN(EE184,FF184),EE184),IF(FC184=1,FF184,DJ184))</f>
        <v>40449</v>
      </c>
      <c r="FO184" s="13">
        <f>(FN184-$I184)/365.25*12</f>
        <v>4.0739219712525667</v>
      </c>
      <c r="FP184" s="14">
        <f>IF(OR(EI184,FC184), 1, 0)</f>
        <v>1</v>
      </c>
      <c r="FQ184" s="11">
        <f>IF(EI184=1,IF(FC184=1,MIN(EK184,FF184),EK184),IF(FC184=1,FF184,DJ184))</f>
        <v>40364</v>
      </c>
      <c r="FR184" s="13">
        <f>(FQ184-$I184)/365.25*12</f>
        <v>1.2813141683778233</v>
      </c>
      <c r="FS184" s="12"/>
      <c r="FT184" s="12"/>
      <c r="FU184" s="12">
        <v>0</v>
      </c>
      <c r="FV184" s="12">
        <v>0</v>
      </c>
      <c r="FW184" s="12">
        <v>0</v>
      </c>
      <c r="FX184" s="12">
        <v>0</v>
      </c>
      <c r="FY184" s="12" t="s">
        <v>522</v>
      </c>
      <c r="FZ184" s="12"/>
    </row>
    <row r="185" spans="1:182" ht="12.75" hidden="1" customHeight="1">
      <c r="A185" s="1" t="s">
        <v>521</v>
      </c>
      <c r="B185" s="12" t="s">
        <v>520</v>
      </c>
      <c r="C185" s="12">
        <v>41291566</v>
      </c>
      <c r="D185" s="12">
        <v>1</v>
      </c>
      <c r="E185" s="12">
        <v>1</v>
      </c>
      <c r="F185" s="12"/>
      <c r="G185" s="12">
        <v>1</v>
      </c>
      <c r="H185" s="21" t="s">
        <v>158</v>
      </c>
      <c r="I185" s="11">
        <v>40584</v>
      </c>
      <c r="J185" s="11">
        <v>40619</v>
      </c>
      <c r="K185" s="11">
        <v>20259</v>
      </c>
      <c r="L185" s="20">
        <f>(DAYS360(K185,I185))/365</f>
        <v>54.87945205479452</v>
      </c>
      <c r="M185" s="12" t="s">
        <v>370</v>
      </c>
      <c r="N185" s="12">
        <v>1</v>
      </c>
      <c r="O185" s="12">
        <v>1</v>
      </c>
      <c r="P185" s="12" t="s">
        <v>410</v>
      </c>
      <c r="Q185" s="12"/>
      <c r="R185" s="12" t="s">
        <v>466</v>
      </c>
      <c r="S185" s="12" t="s">
        <v>519</v>
      </c>
      <c r="T185" s="12" t="s">
        <v>368</v>
      </c>
      <c r="U185" s="12">
        <v>0</v>
      </c>
      <c r="V185" s="12">
        <v>0</v>
      </c>
      <c r="W185" s="12">
        <v>1</v>
      </c>
      <c r="X185" s="12" t="s">
        <v>367</v>
      </c>
      <c r="Y185" s="12">
        <v>3</v>
      </c>
      <c r="Z185" s="12">
        <v>1</v>
      </c>
      <c r="AA185" s="12" t="s">
        <v>366</v>
      </c>
      <c r="AB185" s="12" t="s">
        <v>365</v>
      </c>
      <c r="AC185" s="12">
        <v>3</v>
      </c>
      <c r="AD185" s="12" t="s">
        <v>364</v>
      </c>
      <c r="AE185" s="12"/>
      <c r="AF185" s="12">
        <v>0</v>
      </c>
      <c r="AG185" s="12"/>
      <c r="AH185" s="12">
        <v>0</v>
      </c>
      <c r="AI185" s="11">
        <v>40584</v>
      </c>
      <c r="AJ185" s="11">
        <v>40619</v>
      </c>
      <c r="AK185" s="19" t="s">
        <v>518</v>
      </c>
      <c r="AL185" s="19" t="s">
        <v>517</v>
      </c>
      <c r="AM185" s="12">
        <v>0</v>
      </c>
      <c r="AN185" s="12">
        <v>0</v>
      </c>
      <c r="AO185" s="12">
        <v>0</v>
      </c>
      <c r="AP185" s="12">
        <v>0</v>
      </c>
      <c r="AQ185" s="12">
        <v>0</v>
      </c>
      <c r="AR185" s="12">
        <v>0</v>
      </c>
      <c r="AS185" s="12"/>
      <c r="AT185" s="12"/>
      <c r="AU185" s="12">
        <v>4</v>
      </c>
      <c r="AV185" s="12">
        <v>1</v>
      </c>
      <c r="AW185" s="12"/>
      <c r="AX185" s="19" t="s">
        <v>357</v>
      </c>
      <c r="AY185" s="19" t="s">
        <v>357</v>
      </c>
      <c r="AZ185" s="12">
        <v>1</v>
      </c>
      <c r="BA185" s="12"/>
      <c r="BB185" s="12"/>
      <c r="BC185" s="12"/>
      <c r="BD185" s="12"/>
      <c r="BE185" s="12"/>
      <c r="BF185" s="12" t="s">
        <v>516</v>
      </c>
      <c r="BG185" s="12">
        <v>45</v>
      </c>
      <c r="BH185" s="12">
        <v>45</v>
      </c>
      <c r="BI185" s="12">
        <v>0</v>
      </c>
      <c r="BJ185" s="12">
        <v>0</v>
      </c>
      <c r="BK185" s="12">
        <f>BH185+BI185</f>
        <v>45</v>
      </c>
      <c r="BL185" s="12">
        <v>25</v>
      </c>
      <c r="BM185" s="12">
        <v>1.8</v>
      </c>
      <c r="BN185" s="12" t="s">
        <v>359</v>
      </c>
      <c r="BO185" s="12">
        <v>0</v>
      </c>
      <c r="BP185" s="12">
        <v>1</v>
      </c>
      <c r="BQ185" s="12">
        <v>1</v>
      </c>
      <c r="BR185" s="11">
        <v>40584</v>
      </c>
      <c r="BS185" s="12" t="s">
        <v>91</v>
      </c>
      <c r="BT185" s="12" t="s">
        <v>90</v>
      </c>
      <c r="BU185" s="12" t="s">
        <v>357</v>
      </c>
      <c r="BV185" s="12"/>
      <c r="BW185" s="12">
        <v>5.6</v>
      </c>
      <c r="BX185" s="12"/>
      <c r="BY185" s="12"/>
      <c r="BZ185" s="12">
        <v>13.9</v>
      </c>
      <c r="CA185" s="12">
        <v>226</v>
      </c>
      <c r="CB185" s="12">
        <v>1.56</v>
      </c>
      <c r="CC185" s="12"/>
      <c r="CD185" s="12"/>
      <c r="CE185" s="12">
        <v>1</v>
      </c>
      <c r="CF185" s="11">
        <v>40655</v>
      </c>
      <c r="CG185" s="7">
        <f>CF185-AJ185</f>
        <v>36</v>
      </c>
      <c r="CH185" s="17" t="s">
        <v>461</v>
      </c>
      <c r="CI185" s="17" t="s">
        <v>460</v>
      </c>
      <c r="CJ185" s="17" t="s">
        <v>515</v>
      </c>
      <c r="CK185" s="12" t="s">
        <v>514</v>
      </c>
      <c r="CL185" s="12" t="s">
        <v>96</v>
      </c>
      <c r="CM185" s="12">
        <v>0</v>
      </c>
      <c r="CN185" s="12"/>
      <c r="CO185" s="12" t="s">
        <v>357</v>
      </c>
      <c r="CP185" s="12"/>
      <c r="CQ185" s="17" t="s">
        <v>513</v>
      </c>
      <c r="CR185" s="17">
        <v>5.7</v>
      </c>
      <c r="CS185" s="12" t="s">
        <v>512</v>
      </c>
      <c r="CT185" s="12" t="s">
        <v>511</v>
      </c>
      <c r="CU185" s="12" t="s">
        <v>493</v>
      </c>
      <c r="CV185" s="17">
        <v>0</v>
      </c>
      <c r="CW185" s="12">
        <v>9.6999999999999993</v>
      </c>
      <c r="CX185" s="12">
        <v>1.8</v>
      </c>
      <c r="CY185" s="12">
        <v>0.2</v>
      </c>
      <c r="CZ185" s="12">
        <v>2</v>
      </c>
      <c r="DA185" s="12">
        <v>53</v>
      </c>
      <c r="DB185" s="13">
        <f>CZ185/DA185*100</f>
        <v>3.7735849056603774</v>
      </c>
      <c r="DC185" s="12">
        <v>1</v>
      </c>
      <c r="DD185" s="12">
        <v>0</v>
      </c>
      <c r="DE185" s="12">
        <v>1</v>
      </c>
      <c r="DF185" s="12">
        <v>0</v>
      </c>
      <c r="DG185" s="12" t="s">
        <v>510</v>
      </c>
      <c r="DH185" s="16"/>
      <c r="DI185" s="16"/>
      <c r="DJ185" s="11">
        <v>40750</v>
      </c>
      <c r="DK185" s="12"/>
      <c r="DL185" s="12">
        <f>(DJ185-I185)/365.25*12</f>
        <v>5.4537987679671458</v>
      </c>
      <c r="DM185" s="12">
        <v>1</v>
      </c>
      <c r="DN185" s="12" t="s">
        <v>509</v>
      </c>
      <c r="DO185" s="11">
        <v>40722</v>
      </c>
      <c r="DP185" s="19" t="s">
        <v>508</v>
      </c>
      <c r="DQ185" s="16"/>
      <c r="DR185" s="11"/>
      <c r="DS185" s="11"/>
      <c r="DT185" s="16"/>
      <c r="DU185" s="16"/>
      <c r="DV185" s="16"/>
      <c r="DW185" s="16"/>
      <c r="DX185" s="16"/>
      <c r="DY185" s="16"/>
      <c r="DZ185" s="11"/>
      <c r="EA185" s="11"/>
      <c r="EB185" s="16"/>
      <c r="EC185" s="16"/>
      <c r="ED185" s="16"/>
      <c r="EE185" s="11"/>
      <c r="EF185" s="12"/>
      <c r="EG185" s="16"/>
      <c r="EH185" s="12"/>
      <c r="EI185" s="16"/>
      <c r="EJ185" s="16"/>
      <c r="EK185" s="12"/>
      <c r="EL185" s="12"/>
      <c r="EM185" s="12"/>
      <c r="EN185" s="12"/>
      <c r="EO185" s="12"/>
      <c r="EP185" s="12"/>
      <c r="EQ185" s="12"/>
      <c r="ER185" s="12"/>
      <c r="ES185" s="12"/>
      <c r="ET185" s="12"/>
      <c r="EU185" s="12"/>
      <c r="EV185" s="12"/>
      <c r="EW185" s="12"/>
      <c r="EX185" s="16"/>
      <c r="EY185" s="16"/>
      <c r="EZ185" s="16"/>
      <c r="FA185" s="16"/>
      <c r="FB185" s="12"/>
      <c r="FC185" s="12">
        <v>1</v>
      </c>
      <c r="FD185" s="12">
        <v>1</v>
      </c>
      <c r="FE185" s="12"/>
      <c r="FF185" s="18">
        <v>40756</v>
      </c>
      <c r="FG185" s="3">
        <f>IF(FC185=1, FF185, IF(FD185=1, 44348, DJ185))</f>
        <v>40756</v>
      </c>
      <c r="FH185" s="13">
        <f>(FG185-I185)/365.25*12</f>
        <v>5.6509240246406574</v>
      </c>
      <c r="FI185" s="13"/>
      <c r="FJ185" s="14"/>
      <c r="FK185" s="11"/>
      <c r="FL185" s="13"/>
      <c r="FM185" s="14"/>
      <c r="FN185" s="11"/>
      <c r="FO185" s="13"/>
      <c r="FP185" s="14"/>
      <c r="FQ185" s="11"/>
      <c r="FR185" s="13"/>
      <c r="FS185" s="12"/>
      <c r="FT185" s="12"/>
      <c r="FU185" s="12"/>
      <c r="FV185" s="12"/>
      <c r="FW185" s="12"/>
      <c r="FX185" s="12">
        <v>0</v>
      </c>
      <c r="FY185" s="12" t="s">
        <v>507</v>
      </c>
      <c r="FZ185" s="12"/>
    </row>
    <row r="186" spans="1:182" ht="12.75" hidden="1" customHeight="1">
      <c r="A186" s="1" t="s">
        <v>506</v>
      </c>
      <c r="B186" s="12" t="s">
        <v>505</v>
      </c>
      <c r="C186" s="12">
        <v>37170785</v>
      </c>
      <c r="D186" s="12">
        <v>1</v>
      </c>
      <c r="E186" s="12">
        <v>1</v>
      </c>
      <c r="F186" s="12"/>
      <c r="G186" s="12">
        <v>1</v>
      </c>
      <c r="H186" s="21" t="s">
        <v>504</v>
      </c>
      <c r="I186" s="11">
        <v>40701</v>
      </c>
      <c r="J186" s="11">
        <v>40683</v>
      </c>
      <c r="K186" s="11">
        <v>16225</v>
      </c>
      <c r="L186" s="20">
        <f>(DAYS360(K186,I186))/365</f>
        <v>66.095890410958901</v>
      </c>
      <c r="M186" s="12" t="s">
        <v>370</v>
      </c>
      <c r="N186" s="12">
        <v>1</v>
      </c>
      <c r="O186" s="12">
        <v>0</v>
      </c>
      <c r="P186" s="12" t="s">
        <v>423</v>
      </c>
      <c r="Q186" s="12"/>
      <c r="R186" s="12" t="s">
        <v>466</v>
      </c>
      <c r="S186" s="12" t="s">
        <v>503</v>
      </c>
      <c r="T186" s="12" t="s">
        <v>368</v>
      </c>
      <c r="U186" s="12">
        <v>0</v>
      </c>
      <c r="V186" s="12">
        <v>0</v>
      </c>
      <c r="W186" s="12">
        <v>1</v>
      </c>
      <c r="X186" s="12" t="s">
        <v>383</v>
      </c>
      <c r="Y186" s="12">
        <v>2</v>
      </c>
      <c r="Z186" s="12">
        <v>2</v>
      </c>
      <c r="AA186" s="12" t="s">
        <v>366</v>
      </c>
      <c r="AB186" s="12" t="s">
        <v>365</v>
      </c>
      <c r="AC186" s="12">
        <v>3</v>
      </c>
      <c r="AD186" s="12" t="s">
        <v>502</v>
      </c>
      <c r="AE186" s="12" t="s">
        <v>501</v>
      </c>
      <c r="AF186" s="12">
        <v>0</v>
      </c>
      <c r="AG186" s="12"/>
      <c r="AH186" s="12">
        <v>0</v>
      </c>
      <c r="AI186" s="11">
        <v>40701</v>
      </c>
      <c r="AJ186" s="11">
        <v>40738</v>
      </c>
      <c r="AK186" s="19" t="s">
        <v>500</v>
      </c>
      <c r="AL186" s="19" t="s">
        <v>499</v>
      </c>
      <c r="AU186" s="12">
        <v>2</v>
      </c>
      <c r="AV186" s="12">
        <v>1</v>
      </c>
      <c r="AW186" s="12"/>
      <c r="AX186" s="12">
        <v>1</v>
      </c>
      <c r="AY186" s="19" t="s">
        <v>357</v>
      </c>
      <c r="AZ186" s="12">
        <v>1</v>
      </c>
      <c r="BA186" s="12"/>
      <c r="BB186" s="12"/>
      <c r="BC186" s="12"/>
      <c r="BD186" s="12"/>
      <c r="BE186" s="12"/>
      <c r="BF186" s="12" t="s">
        <v>498</v>
      </c>
      <c r="BG186" s="12" t="s">
        <v>360</v>
      </c>
      <c r="BH186" s="12">
        <v>45</v>
      </c>
      <c r="BI186" s="12">
        <v>5.4</v>
      </c>
      <c r="BJ186" s="12">
        <v>1</v>
      </c>
      <c r="BK186" s="12">
        <f>BH186+BI186</f>
        <v>50.4</v>
      </c>
      <c r="BL186" s="12">
        <v>28</v>
      </c>
      <c r="BM186" s="12">
        <v>1.8</v>
      </c>
      <c r="BN186" s="12" t="s">
        <v>359</v>
      </c>
      <c r="BO186" s="12">
        <v>0</v>
      </c>
      <c r="BP186" s="12">
        <v>1</v>
      </c>
      <c r="BQ186" s="12">
        <v>1</v>
      </c>
      <c r="BR186" s="11">
        <v>40701</v>
      </c>
      <c r="BS186" s="12" t="s">
        <v>78</v>
      </c>
      <c r="BT186" s="12" t="s">
        <v>77</v>
      </c>
      <c r="BU186" s="12">
        <v>6</v>
      </c>
      <c r="BV186" s="12"/>
      <c r="BW186" s="12">
        <v>5.5</v>
      </c>
      <c r="BX186" s="12"/>
      <c r="BY186" s="12"/>
      <c r="BZ186" s="12">
        <v>13.4</v>
      </c>
      <c r="CA186" s="12">
        <v>68</v>
      </c>
      <c r="CB186" s="12">
        <v>1.98</v>
      </c>
      <c r="CC186" s="12"/>
      <c r="CD186" s="12"/>
      <c r="CE186" s="12">
        <v>1</v>
      </c>
      <c r="CF186" s="11">
        <v>40773</v>
      </c>
      <c r="CG186" s="7">
        <f>CF186-AJ186</f>
        <v>35</v>
      </c>
      <c r="CH186" s="12" t="s">
        <v>497</v>
      </c>
      <c r="CI186" s="12" t="s">
        <v>183</v>
      </c>
      <c r="CJ186" s="12"/>
      <c r="CK186" s="12" t="s">
        <v>496</v>
      </c>
      <c r="CL186" s="12">
        <v>0</v>
      </c>
      <c r="CM186" s="12">
        <v>0</v>
      </c>
      <c r="CN186" s="12"/>
      <c r="CO186" s="12" t="s">
        <v>357</v>
      </c>
      <c r="CP186" s="12"/>
      <c r="CQ186" s="17" t="s">
        <v>495</v>
      </c>
      <c r="CR186" s="17">
        <v>0.5</v>
      </c>
      <c r="CS186" s="12" t="s">
        <v>494</v>
      </c>
      <c r="CT186" s="12" t="s">
        <v>357</v>
      </c>
      <c r="CU186" s="12" t="s">
        <v>493</v>
      </c>
      <c r="CV186" s="17">
        <v>0</v>
      </c>
      <c r="CW186" s="12">
        <v>9.6999999999999993</v>
      </c>
      <c r="CX186" s="12">
        <v>3.2</v>
      </c>
      <c r="CY186" s="12">
        <v>0.1</v>
      </c>
      <c r="CZ186" s="12">
        <v>1</v>
      </c>
      <c r="DA186" s="12">
        <v>40</v>
      </c>
      <c r="DB186" s="13">
        <f>CZ186/DA186*100</f>
        <v>2.5</v>
      </c>
      <c r="DC186" s="12">
        <v>0</v>
      </c>
      <c r="DD186" s="12">
        <v>0</v>
      </c>
      <c r="DE186" s="12">
        <v>0</v>
      </c>
      <c r="DF186" s="12">
        <v>1</v>
      </c>
      <c r="DG186" s="12" t="s">
        <v>492</v>
      </c>
      <c r="DH186" s="16"/>
      <c r="DI186" s="16"/>
      <c r="DJ186" s="11">
        <v>42674</v>
      </c>
      <c r="DK186" s="11"/>
      <c r="DL186" s="12">
        <f>(DJ186-I186)/365.25*12</f>
        <v>64.821355236139624</v>
      </c>
      <c r="DM186" s="12">
        <v>0</v>
      </c>
      <c r="DN186" s="1" t="s">
        <v>357</v>
      </c>
      <c r="DO186" s="12" t="s">
        <v>357</v>
      </c>
      <c r="DP186" s="19" t="s">
        <v>357</v>
      </c>
      <c r="DQ186" s="16"/>
      <c r="DR186" s="11"/>
      <c r="DS186" s="11"/>
      <c r="DT186" s="16"/>
      <c r="DU186" s="16"/>
      <c r="DV186" s="16"/>
      <c r="DW186" s="16"/>
      <c r="DX186" s="16"/>
      <c r="DY186" s="16"/>
      <c r="DZ186" s="11"/>
      <c r="EA186" s="11"/>
      <c r="EB186" s="16"/>
      <c r="EC186" s="16"/>
      <c r="ED186" s="16"/>
      <c r="EE186" s="11"/>
      <c r="EF186" s="12" t="s">
        <v>357</v>
      </c>
      <c r="EG186" s="16" t="s">
        <v>357</v>
      </c>
      <c r="EH186" s="12" t="s">
        <v>357</v>
      </c>
      <c r="EI186" s="16"/>
      <c r="EJ186" s="16"/>
      <c r="EK186" s="12"/>
      <c r="EL186" s="12"/>
      <c r="EM186" s="12"/>
      <c r="EN186" s="12"/>
      <c r="EO186" s="12"/>
      <c r="EP186" s="12"/>
      <c r="EQ186" s="12"/>
      <c r="ER186" s="12"/>
      <c r="ES186" s="12"/>
      <c r="ET186" s="12"/>
      <c r="EU186" s="12"/>
      <c r="EV186" s="12"/>
      <c r="EW186" s="12"/>
      <c r="EX186" s="16"/>
      <c r="EY186" s="16"/>
      <c r="EZ186" s="16"/>
      <c r="FA186" s="16"/>
      <c r="FB186" s="12"/>
      <c r="FC186" s="12">
        <v>0</v>
      </c>
      <c r="FD186" s="12">
        <v>1</v>
      </c>
      <c r="FE186" s="12"/>
      <c r="FF186" s="22" t="s">
        <v>45</v>
      </c>
      <c r="FG186" s="3">
        <f>IF(FC186=1, FF186, IF(FD186=1, 44348, DJ186))</f>
        <v>44348</v>
      </c>
      <c r="FH186" s="13">
        <f>(FG186-I186)/365.25*12</f>
        <v>119.81930184804928</v>
      </c>
      <c r="FI186" s="13"/>
      <c r="FJ186" s="14"/>
      <c r="FK186" s="11"/>
      <c r="FL186" s="13"/>
      <c r="FM186" s="14"/>
      <c r="FN186" s="11"/>
      <c r="FO186" s="13"/>
      <c r="FP186" s="14"/>
      <c r="FQ186" s="11"/>
      <c r="FR186" s="13"/>
      <c r="FS186" s="12"/>
      <c r="FT186" s="12"/>
      <c r="FU186" s="12"/>
      <c r="FV186" s="12"/>
      <c r="FW186" s="12"/>
      <c r="FX186" s="12">
        <v>0</v>
      </c>
      <c r="FY186" s="12" t="s">
        <v>491</v>
      </c>
      <c r="FZ186" s="12"/>
    </row>
    <row r="187" spans="1:182" ht="12.75" hidden="1" customHeight="1">
      <c r="A187" s="1" t="s">
        <v>490</v>
      </c>
      <c r="B187" s="12" t="s">
        <v>489</v>
      </c>
      <c r="C187" s="12">
        <v>41943704</v>
      </c>
      <c r="D187" s="12">
        <v>0</v>
      </c>
      <c r="E187" s="12">
        <v>0</v>
      </c>
      <c r="F187" s="12"/>
      <c r="G187" s="12">
        <v>1</v>
      </c>
      <c r="H187" s="21"/>
      <c r="I187" s="11">
        <v>40756</v>
      </c>
      <c r="J187" s="11">
        <v>40737</v>
      </c>
      <c r="K187" s="11">
        <v>18856</v>
      </c>
      <c r="L187" s="20">
        <f>(DAYS360(K187,I187))/365</f>
        <v>59.136986301369866</v>
      </c>
      <c r="M187" s="12" t="s">
        <v>370</v>
      </c>
      <c r="N187" s="12">
        <v>1</v>
      </c>
      <c r="O187" s="12">
        <v>0</v>
      </c>
      <c r="P187" s="12" t="s">
        <v>357</v>
      </c>
      <c r="Q187" s="12"/>
      <c r="R187" s="12" t="s">
        <v>488</v>
      </c>
      <c r="S187" s="12">
        <v>20</v>
      </c>
      <c r="T187" s="12" t="s">
        <v>408</v>
      </c>
      <c r="U187" s="12">
        <v>1</v>
      </c>
      <c r="V187" s="12">
        <v>0</v>
      </c>
      <c r="W187" s="12">
        <v>0</v>
      </c>
      <c r="X187" s="12" t="s">
        <v>383</v>
      </c>
      <c r="Y187" s="12">
        <v>2</v>
      </c>
      <c r="Z187" s="12">
        <v>1</v>
      </c>
      <c r="AA187" s="12" t="s">
        <v>382</v>
      </c>
      <c r="AB187" s="12" t="s">
        <v>381</v>
      </c>
      <c r="AC187" s="12">
        <v>2</v>
      </c>
      <c r="AD187" s="12" t="s">
        <v>407</v>
      </c>
      <c r="AE187" s="12"/>
      <c r="AF187" s="12">
        <v>0</v>
      </c>
      <c r="AG187" s="12">
        <v>0</v>
      </c>
      <c r="AH187" s="12">
        <v>0</v>
      </c>
      <c r="AI187" s="11">
        <v>40756</v>
      </c>
      <c r="AJ187" s="11">
        <v>40794</v>
      </c>
      <c r="AK187" s="19" t="s">
        <v>420</v>
      </c>
      <c r="AL187" s="19" t="s">
        <v>357</v>
      </c>
      <c r="AM187" s="12">
        <v>0</v>
      </c>
      <c r="AN187" s="12">
        <v>0</v>
      </c>
      <c r="AO187" s="12">
        <v>0</v>
      </c>
      <c r="AP187" s="12">
        <v>0</v>
      </c>
      <c r="AQ187" s="12">
        <v>0</v>
      </c>
      <c r="AR187" s="12">
        <v>0</v>
      </c>
      <c r="AS187" s="12"/>
      <c r="AT187" s="12"/>
      <c r="AU187" s="12">
        <v>1.5</v>
      </c>
      <c r="AV187" s="12">
        <v>1</v>
      </c>
      <c r="AW187" s="12"/>
      <c r="AX187" s="12">
        <v>1</v>
      </c>
      <c r="AY187" s="19" t="s">
        <v>357</v>
      </c>
      <c r="AZ187" s="12">
        <v>0.5</v>
      </c>
      <c r="BA187" s="12"/>
      <c r="BB187" s="12"/>
      <c r="BC187" s="12"/>
      <c r="BD187" s="12"/>
      <c r="BE187" s="12"/>
      <c r="BF187" s="12" t="s">
        <v>487</v>
      </c>
      <c r="BG187" s="12" t="s">
        <v>360</v>
      </c>
      <c r="BH187" s="12">
        <v>45</v>
      </c>
      <c r="BI187" s="12">
        <v>5.4</v>
      </c>
      <c r="BJ187" s="12">
        <v>1</v>
      </c>
      <c r="BK187" s="12">
        <f>BH187+BI187</f>
        <v>50.4</v>
      </c>
      <c r="BL187" s="12">
        <v>28</v>
      </c>
      <c r="BM187" s="12">
        <v>1.8</v>
      </c>
      <c r="BN187" s="12" t="s">
        <v>359</v>
      </c>
      <c r="BO187" s="12">
        <v>0</v>
      </c>
      <c r="BP187" s="12">
        <v>1</v>
      </c>
      <c r="BQ187" s="12">
        <v>1</v>
      </c>
      <c r="BR187" s="11">
        <v>37104</v>
      </c>
      <c r="BS187" s="12" t="s">
        <v>91</v>
      </c>
      <c r="BT187" s="12" t="s">
        <v>90</v>
      </c>
      <c r="BU187" s="12">
        <v>2</v>
      </c>
      <c r="BV187" s="12">
        <v>1</v>
      </c>
      <c r="BW187" s="12">
        <v>8.49</v>
      </c>
      <c r="BX187" s="12"/>
      <c r="BY187" s="12"/>
      <c r="BZ187" s="12">
        <v>14.4</v>
      </c>
      <c r="CA187" s="12">
        <v>261</v>
      </c>
      <c r="CB187" s="12">
        <v>1.59</v>
      </c>
      <c r="CC187" s="12"/>
      <c r="CD187" s="12"/>
      <c r="CE187" s="12">
        <v>0</v>
      </c>
      <c r="CF187" s="11" t="s">
        <v>486</v>
      </c>
      <c r="CH187" s="12" t="s">
        <v>485</v>
      </c>
      <c r="CI187" s="12" t="s">
        <v>45</v>
      </c>
      <c r="CJ187" s="12" t="s">
        <v>45</v>
      </c>
      <c r="CK187" s="12" t="s">
        <v>357</v>
      </c>
      <c r="CL187" s="12" t="s">
        <v>357</v>
      </c>
      <c r="CM187" s="12" t="s">
        <v>357</v>
      </c>
      <c r="CN187" s="12"/>
      <c r="CO187" s="12" t="s">
        <v>357</v>
      </c>
      <c r="CP187" s="12"/>
      <c r="CQ187" s="12" t="s">
        <v>357</v>
      </c>
      <c r="CR187" s="12"/>
      <c r="CS187" s="12" t="s">
        <v>357</v>
      </c>
      <c r="CT187" s="12" t="s">
        <v>357</v>
      </c>
      <c r="CU187" s="12" t="s">
        <v>357</v>
      </c>
      <c r="CV187" s="12" t="s">
        <v>357</v>
      </c>
      <c r="CW187" s="12" t="s">
        <v>357</v>
      </c>
      <c r="CX187" s="12" t="s">
        <v>357</v>
      </c>
      <c r="CY187" s="12" t="s">
        <v>357</v>
      </c>
      <c r="CZ187" s="12" t="s">
        <v>357</v>
      </c>
      <c r="DA187" s="12" t="s">
        <v>357</v>
      </c>
      <c r="DB187" s="13" t="s">
        <v>45</v>
      </c>
      <c r="DC187" s="12" t="s">
        <v>357</v>
      </c>
      <c r="DD187" s="12" t="s">
        <v>357</v>
      </c>
      <c r="DE187" s="12" t="s">
        <v>357</v>
      </c>
      <c r="DF187" s="12" t="s">
        <v>357</v>
      </c>
      <c r="DG187" s="12" t="s">
        <v>357</v>
      </c>
      <c r="DH187" s="16">
        <v>0</v>
      </c>
      <c r="DI187" s="16">
        <v>0</v>
      </c>
      <c r="DJ187" s="11">
        <v>40925</v>
      </c>
      <c r="DK187" s="12" t="s">
        <v>389</v>
      </c>
      <c r="DL187" s="12">
        <f>(DJ187-I187)/365.25*12</f>
        <v>5.5523613963039011</v>
      </c>
      <c r="DM187" s="12">
        <v>0</v>
      </c>
      <c r="DN187" s="12" t="s">
        <v>45</v>
      </c>
      <c r="DO187" s="12" t="s">
        <v>45</v>
      </c>
      <c r="DP187" s="12"/>
      <c r="DQ187" s="16">
        <v>0</v>
      </c>
      <c r="DR187" s="11" t="s">
        <v>45</v>
      </c>
      <c r="DS187" s="10">
        <f>IF(DQ187=1, (DR187-$I187)/365.25*12, IF(DQ187=0, $DL187, "ERROR"))</f>
        <v>5.5523613963039011</v>
      </c>
      <c r="DT187" s="16">
        <v>0</v>
      </c>
      <c r="DU187" s="16">
        <v>0</v>
      </c>
      <c r="DV187" s="16">
        <v>0</v>
      </c>
      <c r="DW187" s="16">
        <f>DU187*(1-DV187)</f>
        <v>0</v>
      </c>
      <c r="DX187" s="16">
        <f>(1-DU187)*DV187</f>
        <v>0</v>
      </c>
      <c r="DY187" s="16">
        <f>DU187*DV187</f>
        <v>0</v>
      </c>
      <c r="DZ187" s="11" t="s">
        <v>45</v>
      </c>
      <c r="EA187" s="10">
        <f>IF(DT187=1, (DZ187-$I187)/365.25*12, IF(DT187=0, $DL187, "ERROR"))</f>
        <v>5.5523613963039011</v>
      </c>
      <c r="EB187" s="16">
        <v>0</v>
      </c>
      <c r="EC187" s="16">
        <v>0</v>
      </c>
      <c r="ED187" s="16">
        <f>1-((1-DQ187)*(1-DT187))</f>
        <v>0</v>
      </c>
      <c r="EE187" s="11" t="s">
        <v>45</v>
      </c>
      <c r="EF187" s="12" t="s">
        <v>45</v>
      </c>
      <c r="EG187" s="16" t="s">
        <v>45</v>
      </c>
      <c r="EH187" s="12" t="s">
        <v>45</v>
      </c>
      <c r="EI187" s="12">
        <v>0</v>
      </c>
      <c r="EJ187" s="16">
        <f>(1-DQ187)*DX187*(1-EI187)</f>
        <v>0</v>
      </c>
      <c r="EK187" s="12" t="s">
        <v>45</v>
      </c>
      <c r="EL187" s="10">
        <f>IF(EI187=1, (EK187-$I187)/365.25*12, IF(EI187=0, $DL187, "ERROR"))</f>
        <v>5.5523613963039011</v>
      </c>
      <c r="EM187" s="12" t="s">
        <v>45</v>
      </c>
      <c r="EN187" s="12"/>
      <c r="EO187" s="12"/>
      <c r="EP187" s="12"/>
      <c r="EQ187" s="12"/>
      <c r="ER187" s="12"/>
      <c r="ES187" s="12"/>
      <c r="ET187" s="12"/>
      <c r="EU187" s="12"/>
      <c r="EV187" s="12"/>
      <c r="EW187" s="12"/>
      <c r="EX187" s="16">
        <v>0</v>
      </c>
      <c r="EY187" s="16"/>
      <c r="EZ187" s="16"/>
      <c r="FA187" s="16"/>
      <c r="FB187" s="12" t="s">
        <v>45</v>
      </c>
      <c r="FC187" s="12">
        <v>0</v>
      </c>
      <c r="FD187" s="12">
        <v>0</v>
      </c>
      <c r="FE187" s="12"/>
      <c r="FF187" s="12" t="s">
        <v>45</v>
      </c>
      <c r="FG187" s="3">
        <f>IF(FC187=1, FF187, IF(FD187=1, 44348, DJ187))</f>
        <v>40925</v>
      </c>
      <c r="FH187" s="13">
        <f>(FG187-I187)/365.25*12</f>
        <v>5.5523613963039011</v>
      </c>
      <c r="FI187" s="13"/>
      <c r="FJ187" s="14">
        <f>IF(OR(DM187,FC187), 1, 0)</f>
        <v>0</v>
      </c>
      <c r="FK187" s="11">
        <f>IF(DM187=1,IF(FC187=1,MIN(DO187,FF187),DO187),IF(FC187=1,FF187,DJ187))</f>
        <v>40925</v>
      </c>
      <c r="FL187" s="13">
        <f>(FK187-$I187)/365.25*12</f>
        <v>5.5523613963039011</v>
      </c>
      <c r="FM187" s="14">
        <f>IF(OR(ED187,FC187), 1, 0)</f>
        <v>0</v>
      </c>
      <c r="FN187" s="11">
        <f>IF(ED187=1,IF(FC187=1,MIN(EE187,FF187),EE187),IF(FC187=1,FF187,DJ187))</f>
        <v>40925</v>
      </c>
      <c r="FO187" s="13">
        <f>(FN187-$I187)/365.25*12</f>
        <v>5.5523613963039011</v>
      </c>
      <c r="FP187" s="14">
        <f>IF(OR(EI187,FC187), 1, 0)</f>
        <v>0</v>
      </c>
      <c r="FQ187" s="11">
        <f>IF(EI187=1,IF(FC187=1,MIN(EK187,FF187),EK187),IF(FC187=1,FF187,DJ187))</f>
        <v>40925</v>
      </c>
      <c r="FR187" s="13">
        <f>(FQ187-$I187)/365.25*12</f>
        <v>5.5523613963039011</v>
      </c>
      <c r="FS187" s="12"/>
      <c r="FT187" s="12"/>
      <c r="FU187" s="12">
        <v>0</v>
      </c>
      <c r="FV187" s="12">
        <v>0</v>
      </c>
      <c r="FW187" s="12">
        <v>0</v>
      </c>
      <c r="FX187" s="12">
        <v>0</v>
      </c>
      <c r="FY187" s="12"/>
      <c r="FZ187" s="12"/>
    </row>
    <row r="188" spans="1:182" ht="12.75" hidden="1" customHeight="1">
      <c r="A188" s="1" t="s">
        <v>484</v>
      </c>
      <c r="B188" s="12" t="s">
        <v>483</v>
      </c>
      <c r="C188" s="12">
        <v>33585570</v>
      </c>
      <c r="D188" s="12">
        <v>1</v>
      </c>
      <c r="E188" s="12">
        <v>1</v>
      </c>
      <c r="F188" s="12"/>
      <c r="G188" s="12">
        <v>1</v>
      </c>
      <c r="H188" s="21" t="s">
        <v>482</v>
      </c>
      <c r="I188" s="11">
        <v>40784</v>
      </c>
      <c r="J188" s="11">
        <v>40760</v>
      </c>
      <c r="K188" s="11">
        <v>14656</v>
      </c>
      <c r="L188" s="20">
        <f>(DAYS360(K188,I188))/365</f>
        <v>70.558904109589037</v>
      </c>
      <c r="M188" s="12" t="s">
        <v>370</v>
      </c>
      <c r="N188" s="12">
        <v>1</v>
      </c>
      <c r="O188" s="12">
        <v>2</v>
      </c>
      <c r="P188" s="12" t="s">
        <v>423</v>
      </c>
      <c r="Q188" s="12"/>
      <c r="R188" s="12" t="s">
        <v>466</v>
      </c>
      <c r="S188" s="12" t="s">
        <v>481</v>
      </c>
      <c r="T188" s="12" t="s">
        <v>368</v>
      </c>
      <c r="U188" s="12">
        <v>0</v>
      </c>
      <c r="V188" s="12">
        <v>0</v>
      </c>
      <c r="W188" s="12">
        <v>1</v>
      </c>
      <c r="X188" s="12" t="s">
        <v>383</v>
      </c>
      <c r="Y188" s="12">
        <v>2</v>
      </c>
      <c r="Z188" s="12">
        <v>1</v>
      </c>
      <c r="AA188" s="12" t="s">
        <v>382</v>
      </c>
      <c r="AB188" s="12" t="s">
        <v>381</v>
      </c>
      <c r="AC188" s="12">
        <v>2</v>
      </c>
      <c r="AD188" s="12" t="s">
        <v>480</v>
      </c>
      <c r="AE188" s="12" t="s">
        <v>479</v>
      </c>
      <c r="AF188" s="12">
        <v>0</v>
      </c>
      <c r="AG188" s="12"/>
      <c r="AH188" s="12">
        <v>0</v>
      </c>
      <c r="AI188" s="11">
        <v>40784</v>
      </c>
      <c r="AJ188" s="11">
        <v>40827</v>
      </c>
      <c r="AK188" s="19" t="s">
        <v>478</v>
      </c>
      <c r="AL188" s="19" t="s">
        <v>477</v>
      </c>
      <c r="AM188" s="19"/>
      <c r="AN188" s="19"/>
      <c r="AO188" s="19"/>
      <c r="AP188" s="19"/>
      <c r="AQ188" s="19"/>
      <c r="AR188" s="19"/>
      <c r="AS188" s="19"/>
      <c r="AT188" s="19"/>
      <c r="AU188" s="12">
        <v>4</v>
      </c>
      <c r="AV188" s="12">
        <v>1</v>
      </c>
      <c r="AW188" s="12"/>
      <c r="AX188" s="12">
        <v>0</v>
      </c>
      <c r="AY188" s="19" t="s">
        <v>357</v>
      </c>
      <c r="AZ188" s="12">
        <v>1</v>
      </c>
      <c r="BA188" s="12"/>
      <c r="BB188" s="12"/>
      <c r="BC188" s="12"/>
      <c r="BD188" s="12"/>
      <c r="BE188" s="12"/>
      <c r="BF188" s="12" t="s">
        <v>476</v>
      </c>
      <c r="BG188" s="12" t="s">
        <v>360</v>
      </c>
      <c r="BH188" s="12">
        <v>45</v>
      </c>
      <c r="BI188" s="12">
        <v>5.4</v>
      </c>
      <c r="BJ188" s="12">
        <v>1</v>
      </c>
      <c r="BK188" s="12">
        <f>BH188+BI188</f>
        <v>50.4</v>
      </c>
      <c r="BL188" s="12">
        <v>28</v>
      </c>
      <c r="BM188" s="12">
        <v>1.8</v>
      </c>
      <c r="BN188" s="12" t="s">
        <v>359</v>
      </c>
      <c r="BO188" s="12">
        <v>0</v>
      </c>
      <c r="BP188" s="12">
        <v>1</v>
      </c>
      <c r="BQ188" s="12">
        <v>1</v>
      </c>
      <c r="BR188" s="11">
        <v>40784</v>
      </c>
      <c r="BS188" s="12" t="s">
        <v>91</v>
      </c>
      <c r="BT188" s="12" t="s">
        <v>90</v>
      </c>
      <c r="BU188" s="12">
        <v>2</v>
      </c>
      <c r="BV188" s="12"/>
      <c r="BW188" s="12">
        <v>9.6</v>
      </c>
      <c r="BX188" s="12"/>
      <c r="BY188" s="12"/>
      <c r="BZ188" s="12">
        <v>15</v>
      </c>
      <c r="CA188" s="12">
        <v>210</v>
      </c>
      <c r="CB188" s="12">
        <v>1.68</v>
      </c>
      <c r="CC188" s="12"/>
      <c r="CD188" s="12"/>
      <c r="CE188" s="12">
        <v>1</v>
      </c>
      <c r="CF188" s="11">
        <v>40865</v>
      </c>
      <c r="CG188" s="7">
        <f>CF188-AJ188</f>
        <v>38</v>
      </c>
      <c r="CH188" s="17" t="s">
        <v>461</v>
      </c>
      <c r="CI188" s="17" t="s">
        <v>460</v>
      </c>
      <c r="CJ188" s="17"/>
      <c r="CK188" s="12" t="s">
        <v>459</v>
      </c>
      <c r="CL188" s="12" t="s">
        <v>458</v>
      </c>
      <c r="CM188" s="12">
        <v>0</v>
      </c>
      <c r="CN188" s="12"/>
      <c r="CO188" s="12" t="s">
        <v>357</v>
      </c>
      <c r="CP188" s="12"/>
      <c r="CQ188" s="17" t="s">
        <v>475</v>
      </c>
      <c r="CR188" s="17">
        <v>2.4</v>
      </c>
      <c r="CS188" s="12" t="s">
        <v>474</v>
      </c>
      <c r="CT188" s="12" t="s">
        <v>473</v>
      </c>
      <c r="CU188" s="12" t="s">
        <v>472</v>
      </c>
      <c r="CV188" s="17">
        <v>0</v>
      </c>
      <c r="CW188" s="12">
        <v>4.5</v>
      </c>
      <c r="CX188" s="12">
        <v>5.8</v>
      </c>
      <c r="CY188" s="12">
        <v>0.5</v>
      </c>
      <c r="CZ188" s="12">
        <v>0</v>
      </c>
      <c r="DA188" s="12">
        <v>21</v>
      </c>
      <c r="DB188" s="13">
        <f>CZ188/DA188*100</f>
        <v>0</v>
      </c>
      <c r="DC188" s="12">
        <v>0</v>
      </c>
      <c r="DD188" s="12">
        <v>0</v>
      </c>
      <c r="DE188" s="12">
        <v>0</v>
      </c>
      <c r="DF188" s="12">
        <v>0</v>
      </c>
      <c r="DG188" s="12" t="s">
        <v>471</v>
      </c>
      <c r="DH188" s="16"/>
      <c r="DI188" s="16"/>
      <c r="DJ188" s="11">
        <v>41725</v>
      </c>
      <c r="DK188" s="11"/>
      <c r="DL188" s="12">
        <f>(DJ188-I188)/365.25*12</f>
        <v>30.91581108829569</v>
      </c>
      <c r="DM188" s="12">
        <v>0</v>
      </c>
      <c r="DN188" s="12" t="s">
        <v>357</v>
      </c>
      <c r="DO188" s="12" t="s">
        <v>357</v>
      </c>
      <c r="DP188" s="19" t="s">
        <v>357</v>
      </c>
      <c r="DQ188" s="16"/>
      <c r="DR188" s="11"/>
      <c r="DS188" s="11"/>
      <c r="DT188" s="16"/>
      <c r="DU188" s="16"/>
      <c r="DV188" s="16"/>
      <c r="DW188" s="16"/>
      <c r="DX188" s="16"/>
      <c r="DY188" s="16"/>
      <c r="DZ188" s="11"/>
      <c r="EA188" s="11"/>
      <c r="EB188" s="16"/>
      <c r="EC188" s="16"/>
      <c r="ED188" s="16"/>
      <c r="EE188" s="11"/>
      <c r="EF188" s="12" t="s">
        <v>357</v>
      </c>
      <c r="EG188" s="16" t="s">
        <v>357</v>
      </c>
      <c r="EH188" s="12" t="s">
        <v>357</v>
      </c>
      <c r="EI188" s="16"/>
      <c r="EJ188" s="16"/>
      <c r="EK188" s="12"/>
      <c r="EL188" s="12"/>
      <c r="EM188" s="12"/>
      <c r="EN188" s="12"/>
      <c r="EO188" s="12"/>
      <c r="EP188" s="12"/>
      <c r="EQ188" s="12"/>
      <c r="ER188" s="12"/>
      <c r="ES188" s="12"/>
      <c r="ET188" s="12"/>
      <c r="EU188" s="12"/>
      <c r="EV188" s="12"/>
      <c r="EW188" s="12"/>
      <c r="EX188" s="16"/>
      <c r="EY188" s="16"/>
      <c r="EZ188" s="16"/>
      <c r="FA188" s="16"/>
      <c r="FB188" s="12"/>
      <c r="FC188" s="12">
        <v>1</v>
      </c>
      <c r="FD188" s="12">
        <v>1</v>
      </c>
      <c r="FE188" s="12"/>
      <c r="FF188" s="18">
        <v>41728</v>
      </c>
      <c r="FG188" s="3">
        <f>IF(FC188=1, FF188, IF(FD188=1, 44348, DJ188))</f>
        <v>41728</v>
      </c>
      <c r="FH188" s="13">
        <f>(FG188-I188)/365.25*12</f>
        <v>31.014373716632441</v>
      </c>
      <c r="FI188" s="13"/>
      <c r="FJ188" s="14"/>
      <c r="FK188" s="11"/>
      <c r="FL188" s="13"/>
      <c r="FM188" s="14"/>
      <c r="FN188" s="11"/>
      <c r="FO188" s="13"/>
      <c r="FP188" s="14"/>
      <c r="FQ188" s="11"/>
      <c r="FR188" s="13"/>
      <c r="FS188" s="12"/>
      <c r="FT188" s="12"/>
      <c r="FU188" s="12"/>
      <c r="FV188" s="12"/>
      <c r="FW188" s="12"/>
      <c r="FX188" s="12">
        <v>0</v>
      </c>
      <c r="FY188" s="12" t="s">
        <v>470</v>
      </c>
      <c r="FZ188" s="12"/>
    </row>
    <row r="189" spans="1:182" ht="12.75" hidden="1" customHeight="1">
      <c r="A189" s="1" t="s">
        <v>469</v>
      </c>
      <c r="B189" s="12" t="s">
        <v>468</v>
      </c>
      <c r="C189" s="12">
        <v>29886849</v>
      </c>
      <c r="D189" s="12">
        <v>1</v>
      </c>
      <c r="E189" s="12">
        <v>1</v>
      </c>
      <c r="F189" s="12"/>
      <c r="G189" s="12">
        <v>1</v>
      </c>
      <c r="H189" s="21" t="s">
        <v>467</v>
      </c>
      <c r="I189" s="11">
        <v>40820</v>
      </c>
      <c r="J189" s="11">
        <v>40785</v>
      </c>
      <c r="K189" s="11">
        <v>14751</v>
      </c>
      <c r="L189" s="20">
        <f>(DAYS360(K189,I189))/365</f>
        <v>70.394520547945206</v>
      </c>
      <c r="M189" s="12" t="s">
        <v>370</v>
      </c>
      <c r="N189" s="12">
        <v>1</v>
      </c>
      <c r="O189" s="12">
        <v>0</v>
      </c>
      <c r="P189" s="12" t="s">
        <v>410</v>
      </c>
      <c r="Q189" s="12"/>
      <c r="R189" s="12" t="s">
        <v>466</v>
      </c>
      <c r="S189" s="12">
        <v>20</v>
      </c>
      <c r="T189" s="12" t="s">
        <v>408</v>
      </c>
      <c r="U189" s="12">
        <v>1</v>
      </c>
      <c r="V189" s="12">
        <v>0</v>
      </c>
      <c r="W189" s="12">
        <v>0</v>
      </c>
      <c r="X189" s="12" t="s">
        <v>395</v>
      </c>
      <c r="Y189" s="12">
        <v>3</v>
      </c>
      <c r="Z189" s="12">
        <v>1</v>
      </c>
      <c r="AA189" s="12" t="s">
        <v>366</v>
      </c>
      <c r="AB189" s="12" t="s">
        <v>365</v>
      </c>
      <c r="AC189" s="12">
        <v>3</v>
      </c>
      <c r="AD189" s="12" t="s">
        <v>407</v>
      </c>
      <c r="AE189" s="12" t="s">
        <v>465</v>
      </c>
      <c r="AF189" s="12">
        <v>0</v>
      </c>
      <c r="AG189" s="12"/>
      <c r="AH189" s="12">
        <v>0</v>
      </c>
      <c r="AI189" s="11">
        <v>40820</v>
      </c>
      <c r="AJ189" s="11">
        <v>40857</v>
      </c>
      <c r="AK189" s="19" t="s">
        <v>464</v>
      </c>
      <c r="AL189" s="19" t="s">
        <v>463</v>
      </c>
      <c r="AM189" s="19"/>
      <c r="AN189" s="19"/>
      <c r="AO189" s="19"/>
      <c r="AP189" s="19"/>
      <c r="AQ189" s="19"/>
      <c r="AR189" s="19"/>
      <c r="AS189" s="19"/>
      <c r="AT189" s="19"/>
      <c r="AU189" s="12">
        <v>2</v>
      </c>
      <c r="AV189" s="12">
        <v>1</v>
      </c>
      <c r="AW189" s="12"/>
      <c r="AX189" s="12">
        <v>1</v>
      </c>
      <c r="AY189" s="19" t="s">
        <v>357</v>
      </c>
      <c r="AZ189" s="12">
        <v>1</v>
      </c>
      <c r="BA189" s="12"/>
      <c r="BB189" s="12"/>
      <c r="BC189" s="12"/>
      <c r="BD189" s="12"/>
      <c r="BE189" s="12"/>
      <c r="BF189" s="12" t="s">
        <v>462</v>
      </c>
      <c r="BG189" s="12" t="s">
        <v>360</v>
      </c>
      <c r="BH189" s="12">
        <v>45</v>
      </c>
      <c r="BI189" s="12">
        <v>5.4</v>
      </c>
      <c r="BJ189" s="12">
        <v>1</v>
      </c>
      <c r="BK189" s="12">
        <f>BH189+BI189</f>
        <v>50.4</v>
      </c>
      <c r="BL189" s="12">
        <v>28</v>
      </c>
      <c r="BM189" s="12">
        <v>1.8</v>
      </c>
      <c r="BN189" s="12" t="s">
        <v>359</v>
      </c>
      <c r="BO189" s="12">
        <v>0</v>
      </c>
      <c r="BP189" s="12">
        <v>1</v>
      </c>
      <c r="BQ189" s="12">
        <v>1</v>
      </c>
      <c r="BR189" s="11">
        <v>40812</v>
      </c>
      <c r="BS189" s="12" t="s">
        <v>91</v>
      </c>
      <c r="BT189" s="12" t="s">
        <v>90</v>
      </c>
      <c r="BU189" s="12">
        <v>2</v>
      </c>
      <c r="BV189" s="12"/>
      <c r="BW189" s="12">
        <v>9.5</v>
      </c>
      <c r="BX189" s="12"/>
      <c r="BY189" s="12"/>
      <c r="BZ189" s="12">
        <v>13.1</v>
      </c>
      <c r="CA189" s="12">
        <v>238</v>
      </c>
      <c r="CB189" s="12">
        <v>1.7</v>
      </c>
      <c r="CC189" s="12"/>
      <c r="CD189" s="12"/>
      <c r="CE189" s="12">
        <v>1</v>
      </c>
      <c r="CF189" s="11">
        <v>40892</v>
      </c>
      <c r="CG189" s="7">
        <f>CF189-AJ189</f>
        <v>35</v>
      </c>
      <c r="CH189" s="17" t="s">
        <v>461</v>
      </c>
      <c r="CI189" s="17" t="s">
        <v>460</v>
      </c>
      <c r="CJ189" s="17"/>
      <c r="CK189" s="12" t="s">
        <v>459</v>
      </c>
      <c r="CL189" s="12" t="s">
        <v>458</v>
      </c>
      <c r="CM189" s="12">
        <v>0</v>
      </c>
      <c r="CN189" s="12"/>
      <c r="CO189" s="12" t="s">
        <v>357</v>
      </c>
      <c r="CP189" s="12"/>
      <c r="CQ189" s="17" t="s">
        <v>457</v>
      </c>
      <c r="CR189" s="17">
        <v>5.2</v>
      </c>
      <c r="CS189" s="12" t="s">
        <v>456</v>
      </c>
      <c r="CT189" s="12" t="s">
        <v>455</v>
      </c>
      <c r="CU189" s="12" t="s">
        <v>454</v>
      </c>
      <c r="CV189" s="17">
        <v>0</v>
      </c>
      <c r="CW189" s="12">
        <v>0</v>
      </c>
      <c r="CX189" s="12">
        <v>10.8</v>
      </c>
      <c r="CY189" s="12">
        <v>0.4</v>
      </c>
      <c r="CZ189" s="12">
        <v>0</v>
      </c>
      <c r="DA189" s="12">
        <v>32</v>
      </c>
      <c r="DB189" s="13">
        <f>CZ189/DA189*100</f>
        <v>0</v>
      </c>
      <c r="DC189" s="12">
        <v>0</v>
      </c>
      <c r="DD189" s="12">
        <v>0</v>
      </c>
      <c r="DE189" s="12">
        <v>0</v>
      </c>
      <c r="DF189" s="12">
        <v>0</v>
      </c>
      <c r="DG189" s="12" t="s">
        <v>453</v>
      </c>
      <c r="DH189" s="16"/>
      <c r="DI189" s="16"/>
      <c r="DJ189" s="11">
        <v>41206</v>
      </c>
      <c r="DK189" s="11"/>
      <c r="DL189" s="12">
        <f>(DJ189-I189)/365.25*12</f>
        <v>12.681724845995893</v>
      </c>
      <c r="DM189" s="12">
        <v>1</v>
      </c>
      <c r="DN189" s="12" t="s">
        <v>452</v>
      </c>
      <c r="DO189" s="11">
        <v>41206</v>
      </c>
      <c r="DP189" s="19" t="s">
        <v>451</v>
      </c>
      <c r="DQ189" s="16"/>
      <c r="DR189" s="11"/>
      <c r="DS189" s="11"/>
      <c r="DT189" s="16"/>
      <c r="DU189" s="16"/>
      <c r="DV189" s="16"/>
      <c r="DW189" s="16"/>
      <c r="DX189" s="16"/>
      <c r="DY189" s="16"/>
      <c r="DZ189" s="11"/>
      <c r="EA189" s="11"/>
      <c r="EB189" s="16"/>
      <c r="EC189" s="16"/>
      <c r="ED189" s="16"/>
      <c r="EE189" s="11"/>
      <c r="EF189" s="11"/>
      <c r="EG189" s="16"/>
      <c r="EH189" s="11"/>
      <c r="EI189" s="16"/>
      <c r="EJ189" s="16"/>
      <c r="EK189" s="11"/>
      <c r="EL189" s="11"/>
      <c r="EM189" s="11"/>
      <c r="EN189" s="11"/>
      <c r="EO189" s="11"/>
      <c r="EP189" s="11"/>
      <c r="EQ189" s="11"/>
      <c r="ER189" s="11"/>
      <c r="ES189" s="11"/>
      <c r="ET189" s="11"/>
      <c r="EU189" s="11"/>
      <c r="EV189" s="11"/>
      <c r="EW189" s="11"/>
      <c r="EX189" s="16"/>
      <c r="EY189" s="16"/>
      <c r="EZ189" s="16"/>
      <c r="FA189" s="16"/>
      <c r="FB189" s="11"/>
      <c r="FC189" s="12">
        <v>1</v>
      </c>
      <c r="FD189" s="12">
        <v>1</v>
      </c>
      <c r="FE189" s="11"/>
      <c r="FF189" s="18">
        <v>41462</v>
      </c>
      <c r="FG189" s="3">
        <f>IF(FC189=1, FF189, IF(FD189=1, 44348, DJ189))</f>
        <v>41462</v>
      </c>
      <c r="FH189" s="13">
        <f>(FG189-I189)/365.25*12</f>
        <v>21.09240246406571</v>
      </c>
      <c r="FI189" s="13"/>
      <c r="FJ189" s="14"/>
      <c r="FK189" s="11"/>
      <c r="FL189" s="13"/>
      <c r="FM189" s="14"/>
      <c r="FN189" s="11"/>
      <c r="FO189" s="13"/>
      <c r="FP189" s="14"/>
      <c r="FQ189" s="11"/>
      <c r="FR189" s="13"/>
      <c r="FS189" s="12"/>
      <c r="FT189" s="12"/>
      <c r="FU189" s="12"/>
      <c r="FV189" s="12"/>
      <c r="FW189" s="12"/>
      <c r="FX189" s="12">
        <v>0</v>
      </c>
      <c r="FY189" s="12" t="s">
        <v>450</v>
      </c>
      <c r="FZ189" s="12"/>
    </row>
    <row r="190" spans="1:182" ht="12.75" hidden="1" customHeight="1">
      <c r="A190" s="1" t="s">
        <v>449</v>
      </c>
      <c r="B190" s="12" t="s">
        <v>448</v>
      </c>
      <c r="C190" s="12">
        <v>42218610</v>
      </c>
      <c r="D190" s="12">
        <v>0</v>
      </c>
      <c r="E190" s="12">
        <v>0</v>
      </c>
      <c r="F190" s="12"/>
      <c r="G190" s="12">
        <v>1</v>
      </c>
      <c r="H190" s="21"/>
      <c r="I190" s="11">
        <v>40847</v>
      </c>
      <c r="J190" s="11">
        <v>40815</v>
      </c>
      <c r="K190" s="11">
        <v>16955</v>
      </c>
      <c r="L190" s="20">
        <f>(DAYS360(K190,I190))/365</f>
        <v>64.517808219178079</v>
      </c>
      <c r="M190" s="12" t="s">
        <v>370</v>
      </c>
      <c r="N190" s="12">
        <v>1</v>
      </c>
      <c r="O190" s="12">
        <v>0</v>
      </c>
      <c r="P190" s="12" t="s">
        <v>447</v>
      </c>
      <c r="Q190" s="12">
        <v>0</v>
      </c>
      <c r="R190" s="12" t="s">
        <v>434</v>
      </c>
      <c r="S190" s="12" t="s">
        <v>446</v>
      </c>
      <c r="T190" s="12" t="s">
        <v>384</v>
      </c>
      <c r="U190" s="12">
        <v>0</v>
      </c>
      <c r="V190" s="12">
        <v>1</v>
      </c>
      <c r="W190" s="12">
        <v>0</v>
      </c>
      <c r="X190" s="12" t="s">
        <v>445</v>
      </c>
      <c r="Y190" s="12">
        <v>2</v>
      </c>
      <c r="Z190" s="12">
        <v>1</v>
      </c>
      <c r="AA190" s="12" t="s">
        <v>382</v>
      </c>
      <c r="AB190" s="12" t="s">
        <v>381</v>
      </c>
      <c r="AC190" s="12">
        <v>2</v>
      </c>
      <c r="AD190" s="12" t="s">
        <v>444</v>
      </c>
      <c r="AE190" s="12"/>
      <c r="AF190" s="12">
        <v>0</v>
      </c>
      <c r="AG190" s="12">
        <v>0</v>
      </c>
      <c r="AH190" s="12">
        <v>0</v>
      </c>
      <c r="AI190" s="11">
        <v>40847</v>
      </c>
      <c r="AJ190" s="11">
        <v>40885</v>
      </c>
      <c r="AK190" s="19" t="s">
        <v>443</v>
      </c>
      <c r="AL190" s="19" t="s">
        <v>392</v>
      </c>
      <c r="AM190" s="12">
        <v>0</v>
      </c>
      <c r="AN190" s="12">
        <v>0</v>
      </c>
      <c r="AO190" s="12">
        <v>0</v>
      </c>
      <c r="AP190" s="12">
        <v>0</v>
      </c>
      <c r="AQ190" s="12">
        <v>0</v>
      </c>
      <c r="AR190" s="12">
        <v>0</v>
      </c>
      <c r="AS190" s="12"/>
      <c r="AT190" s="12"/>
      <c r="AU190" s="12">
        <v>4</v>
      </c>
      <c r="AV190" s="12">
        <v>1</v>
      </c>
      <c r="AW190" s="12"/>
      <c r="AX190" s="12">
        <v>1</v>
      </c>
      <c r="AY190" s="19" t="s">
        <v>357</v>
      </c>
      <c r="AZ190" s="12">
        <v>1</v>
      </c>
      <c r="BA190" s="12"/>
      <c r="BB190" s="12"/>
      <c r="BC190" s="12"/>
      <c r="BD190" s="12"/>
      <c r="BE190" s="12"/>
      <c r="BF190" s="12" t="s">
        <v>391</v>
      </c>
      <c r="BG190" s="12" t="s">
        <v>428</v>
      </c>
      <c r="BH190" s="12">
        <v>45</v>
      </c>
      <c r="BI190" s="12">
        <v>5.4</v>
      </c>
      <c r="BJ190" s="12">
        <v>2</v>
      </c>
      <c r="BK190" s="12">
        <f>BH190+BI190</f>
        <v>50.4</v>
      </c>
      <c r="BL190" s="12">
        <f>BK190/1.8</f>
        <v>28</v>
      </c>
      <c r="BM190" s="12">
        <v>1.8</v>
      </c>
      <c r="BN190" s="12" t="s">
        <v>359</v>
      </c>
      <c r="BO190" s="12">
        <v>0</v>
      </c>
      <c r="BP190" s="12">
        <v>1</v>
      </c>
      <c r="BQ190" s="12">
        <v>1</v>
      </c>
      <c r="BR190" s="11">
        <v>40847</v>
      </c>
      <c r="BS190" s="12" t="s">
        <v>91</v>
      </c>
      <c r="BT190" s="12" t="s">
        <v>90</v>
      </c>
      <c r="BU190" s="12">
        <v>2</v>
      </c>
      <c r="BV190" s="12">
        <v>1</v>
      </c>
      <c r="BW190" s="12">
        <v>6.08</v>
      </c>
      <c r="BX190" s="12"/>
      <c r="BY190" s="12"/>
      <c r="BZ190" s="12">
        <v>13.3</v>
      </c>
      <c r="CA190" s="12">
        <v>252</v>
      </c>
      <c r="CB190" s="12">
        <v>1.69</v>
      </c>
      <c r="CC190" s="12"/>
      <c r="CD190" s="12"/>
      <c r="CE190" s="12">
        <v>2</v>
      </c>
      <c r="CF190" s="11">
        <v>40924</v>
      </c>
      <c r="CG190" s="7">
        <f>CF190-AJ190</f>
        <v>39</v>
      </c>
      <c r="CH190" s="12" t="s">
        <v>442</v>
      </c>
      <c r="CI190" s="12" t="s">
        <v>45</v>
      </c>
      <c r="CJ190" s="12" t="s">
        <v>45</v>
      </c>
      <c r="CK190" s="12" t="s">
        <v>357</v>
      </c>
      <c r="CL190" s="12" t="s">
        <v>357</v>
      </c>
      <c r="CM190" s="12" t="s">
        <v>357</v>
      </c>
      <c r="CN190" s="12"/>
      <c r="CO190" s="12" t="s">
        <v>357</v>
      </c>
      <c r="CP190" s="12"/>
      <c r="CQ190" s="12" t="s">
        <v>357</v>
      </c>
      <c r="CR190" s="12" t="s">
        <v>357</v>
      </c>
      <c r="CS190" s="12" t="s">
        <v>357</v>
      </c>
      <c r="CT190" s="12" t="s">
        <v>357</v>
      </c>
      <c r="CU190" s="12" t="s">
        <v>357</v>
      </c>
      <c r="CV190" s="12" t="s">
        <v>357</v>
      </c>
      <c r="CW190" s="12" t="s">
        <v>357</v>
      </c>
      <c r="CX190" s="12" t="s">
        <v>357</v>
      </c>
      <c r="CY190" s="12" t="s">
        <v>357</v>
      </c>
      <c r="CZ190" s="12" t="s">
        <v>357</v>
      </c>
      <c r="DA190" s="12" t="s">
        <v>357</v>
      </c>
      <c r="DB190" s="13" t="s">
        <v>45</v>
      </c>
      <c r="DC190" s="12" t="s">
        <v>357</v>
      </c>
      <c r="DD190" s="12" t="s">
        <v>357</v>
      </c>
      <c r="DE190" s="12" t="s">
        <v>357</v>
      </c>
      <c r="DF190" s="12" t="s">
        <v>357</v>
      </c>
      <c r="DG190" s="12" t="s">
        <v>357</v>
      </c>
      <c r="DH190" s="16">
        <v>1</v>
      </c>
      <c r="DI190" s="16">
        <v>0</v>
      </c>
      <c r="DJ190" s="11">
        <v>41108</v>
      </c>
      <c r="DK190" s="11"/>
      <c r="DL190" s="12">
        <f>(DJ190-I190)/365.25*12</f>
        <v>8.5749486652977414</v>
      </c>
      <c r="DM190" s="12">
        <v>1</v>
      </c>
      <c r="DN190" s="12" t="s">
        <v>441</v>
      </c>
      <c r="DO190" s="11">
        <v>41108</v>
      </c>
      <c r="DP190" s="11" t="s">
        <v>440</v>
      </c>
      <c r="DQ190" s="16">
        <v>1</v>
      </c>
      <c r="DR190" s="11">
        <v>41170</v>
      </c>
      <c r="DS190" s="10">
        <f>IF(DQ190=1, (DR190-$I190)/365.25*12, IF(DQ190=0, $DL190, "ERROR"))</f>
        <v>10.611909650924025</v>
      </c>
      <c r="DT190" s="16">
        <v>1</v>
      </c>
      <c r="DU190" s="16">
        <v>1</v>
      </c>
      <c r="DV190" s="16">
        <v>0</v>
      </c>
      <c r="DW190" s="16">
        <f>DU190*(1-DV190)</f>
        <v>1</v>
      </c>
      <c r="DX190" s="16">
        <f>(1-DU190)*DV190</f>
        <v>0</v>
      </c>
      <c r="DY190" s="16">
        <f>DU190*DV190</f>
        <v>0</v>
      </c>
      <c r="DZ190" s="11">
        <v>41108</v>
      </c>
      <c r="EA190" s="10">
        <f>IF(DT190=1, (DZ190-$I190)/365.25*12, IF(DT190=0, $DL190, "ERROR"))</f>
        <v>8.5749486652977414</v>
      </c>
      <c r="EB190" s="16">
        <v>1</v>
      </c>
      <c r="EC190" s="16">
        <v>0</v>
      </c>
      <c r="ED190" s="16">
        <f>1-((1-DQ190)*(1-DT190))</f>
        <v>1</v>
      </c>
      <c r="EE190" s="11">
        <f>MIN(DR190,DZ190)</f>
        <v>41108</v>
      </c>
      <c r="EF190" s="11" t="s">
        <v>439</v>
      </c>
      <c r="EG190" s="16">
        <v>1</v>
      </c>
      <c r="EH190" s="11" t="s">
        <v>438</v>
      </c>
      <c r="EI190" s="12">
        <v>1</v>
      </c>
      <c r="EJ190" s="16">
        <f>(1-DQ190)*DX190*(1-EI190)</f>
        <v>0</v>
      </c>
      <c r="EK190" s="11">
        <v>41108</v>
      </c>
      <c r="EL190" s="10">
        <f>IF(EI190=1, (EK190-$I190)/365.25*12, IF(EI190=0, $DL190, "ERROR"))</f>
        <v>8.5749486652977414</v>
      </c>
      <c r="EM190" s="11" t="s">
        <v>437</v>
      </c>
      <c r="EN190" s="11"/>
      <c r="EO190" s="11"/>
      <c r="EP190" s="11"/>
      <c r="EQ190" s="11"/>
      <c r="ER190" s="11"/>
      <c r="ES190" s="11"/>
      <c r="ET190" s="11"/>
      <c r="EU190" s="11"/>
      <c r="EV190" s="11"/>
      <c r="EW190" s="11"/>
      <c r="EX190" s="16">
        <v>1</v>
      </c>
      <c r="EY190" s="16"/>
      <c r="EZ190" s="16"/>
      <c r="FA190" s="16"/>
      <c r="FB190" s="11" t="s">
        <v>45</v>
      </c>
      <c r="FC190" s="12">
        <v>1</v>
      </c>
      <c r="FD190" s="12">
        <v>1</v>
      </c>
      <c r="FE190" s="11"/>
      <c r="FF190" s="18">
        <v>41348</v>
      </c>
      <c r="FG190" s="3">
        <f>IF(FC190=1, FF190, IF(FD190=1, 44348, DJ190))</f>
        <v>41348</v>
      </c>
      <c r="FH190" s="13">
        <f>(FG190-I190)/365.25*12</f>
        <v>16.459958932238191</v>
      </c>
      <c r="FI190" s="13"/>
      <c r="FJ190" s="14">
        <f>IF(OR(DM190,FC190), 1, 0)</f>
        <v>1</v>
      </c>
      <c r="FK190" s="11">
        <f>IF(DM190=1,IF(FC190=1,MIN(DO190,FF190),DO190),IF(FC190=1,FF190,DJ190))</f>
        <v>41108</v>
      </c>
      <c r="FL190" s="13">
        <f>(FK190-$I190)/365.25*12</f>
        <v>8.5749486652977414</v>
      </c>
      <c r="FM190" s="14">
        <f>IF(OR(ED190,FC190), 1, 0)</f>
        <v>1</v>
      </c>
      <c r="FN190" s="11">
        <f>IF(ED190=1,IF(FC190=1,MIN(EE190,FF190),EE190),IF(FC190=1,FF190,DJ190))</f>
        <v>41108</v>
      </c>
      <c r="FO190" s="13">
        <f>(FN190-$I190)/365.25*12</f>
        <v>8.5749486652977414</v>
      </c>
      <c r="FP190" s="14">
        <f>IF(OR(EI190,FC190), 1, 0)</f>
        <v>1</v>
      </c>
      <c r="FQ190" s="11">
        <f>IF(EI190=1,IF(FC190=1,MIN(EK190,FF190),EK190),IF(FC190=1,FF190,DJ190))</f>
        <v>41108</v>
      </c>
      <c r="FR190" s="13">
        <f>(FQ190-$I190)/365.25*12</f>
        <v>8.5749486652977414</v>
      </c>
      <c r="FS190" s="12"/>
      <c r="FT190" s="12"/>
      <c r="FU190" s="12">
        <v>0</v>
      </c>
      <c r="FV190" s="12">
        <v>0</v>
      </c>
      <c r="FW190" s="12">
        <v>0</v>
      </c>
      <c r="FX190" s="12">
        <v>0</v>
      </c>
      <c r="FY190" s="12" t="s">
        <v>426</v>
      </c>
      <c r="FZ190" s="12"/>
    </row>
    <row r="191" spans="1:182" ht="12.75" hidden="1" customHeight="1">
      <c r="A191" s="1" t="s">
        <v>436</v>
      </c>
      <c r="B191" s="12" t="s">
        <v>435</v>
      </c>
      <c r="C191" s="12">
        <v>42356341</v>
      </c>
      <c r="D191" s="12">
        <v>0</v>
      </c>
      <c r="E191" s="12">
        <v>0</v>
      </c>
      <c r="F191" s="12"/>
      <c r="G191" s="12">
        <v>1</v>
      </c>
      <c r="H191" s="21"/>
      <c r="I191" s="11">
        <v>40856</v>
      </c>
      <c r="J191" s="11">
        <v>40847</v>
      </c>
      <c r="K191" s="11">
        <v>20238</v>
      </c>
      <c r="L191" s="20">
        <f>(DAYS360(K191,I191))/365</f>
        <v>55.671232876712331</v>
      </c>
      <c r="M191" s="12" t="s">
        <v>370</v>
      </c>
      <c r="N191" s="12">
        <v>1</v>
      </c>
      <c r="O191" s="12">
        <v>0</v>
      </c>
      <c r="P191" s="12" t="s">
        <v>357</v>
      </c>
      <c r="Q191" s="12"/>
      <c r="R191" s="12" t="s">
        <v>434</v>
      </c>
      <c r="S191" s="12" t="s">
        <v>433</v>
      </c>
      <c r="T191" s="12" t="s">
        <v>432</v>
      </c>
      <c r="U191" s="12">
        <v>0</v>
      </c>
      <c r="V191" s="12">
        <v>1</v>
      </c>
      <c r="W191" s="12">
        <v>1</v>
      </c>
      <c r="X191" s="12" t="s">
        <v>367</v>
      </c>
      <c r="Y191" s="12">
        <v>3</v>
      </c>
      <c r="Z191" s="12">
        <v>1</v>
      </c>
      <c r="AA191" s="12" t="s">
        <v>366</v>
      </c>
      <c r="AB191" s="12" t="s">
        <v>365</v>
      </c>
      <c r="AC191" s="12">
        <v>3</v>
      </c>
      <c r="AD191" s="12" t="s">
        <v>431</v>
      </c>
      <c r="AE191" s="12"/>
      <c r="AF191" s="12">
        <v>0</v>
      </c>
      <c r="AG191" s="12">
        <v>0</v>
      </c>
      <c r="AH191" s="12">
        <v>0</v>
      </c>
      <c r="AI191" s="11">
        <v>40856</v>
      </c>
      <c r="AJ191" s="11">
        <v>40896</v>
      </c>
      <c r="AK191" s="19" t="s">
        <v>430</v>
      </c>
      <c r="AL191" s="19" t="s">
        <v>392</v>
      </c>
      <c r="AM191" s="12">
        <v>1</v>
      </c>
      <c r="AN191" s="12">
        <v>1</v>
      </c>
      <c r="AO191" s="12">
        <v>0</v>
      </c>
      <c r="AP191" s="12">
        <v>0</v>
      </c>
      <c r="AQ191" s="12">
        <v>0</v>
      </c>
      <c r="AR191" s="12">
        <v>0</v>
      </c>
      <c r="AS191" s="12"/>
      <c r="AT191" s="12"/>
      <c r="AU191" s="12">
        <v>4</v>
      </c>
      <c r="AV191" s="12">
        <v>1</v>
      </c>
      <c r="AW191" s="12"/>
      <c r="AX191" s="12">
        <v>1</v>
      </c>
      <c r="AY191" s="19" t="s">
        <v>357</v>
      </c>
      <c r="AZ191" s="12">
        <v>1</v>
      </c>
      <c r="BA191" s="12"/>
      <c r="BB191" s="12"/>
      <c r="BC191" s="12"/>
      <c r="BD191" s="12"/>
      <c r="BE191" s="12"/>
      <c r="BF191" s="12" t="s">
        <v>429</v>
      </c>
      <c r="BG191" s="12" t="s">
        <v>428</v>
      </c>
      <c r="BH191" s="12">
        <v>45</v>
      </c>
      <c r="BI191" s="12">
        <v>5.4</v>
      </c>
      <c r="BJ191" s="12">
        <v>2</v>
      </c>
      <c r="BK191" s="12">
        <f>BH191+BI191</f>
        <v>50.4</v>
      </c>
      <c r="BL191" s="12">
        <f>BK191/1.8</f>
        <v>28</v>
      </c>
      <c r="BM191" s="12">
        <v>1.8</v>
      </c>
      <c r="BN191" s="12" t="s">
        <v>359</v>
      </c>
      <c r="BO191" s="12">
        <v>0</v>
      </c>
      <c r="BP191" s="12">
        <v>1</v>
      </c>
      <c r="BQ191" s="12">
        <v>1</v>
      </c>
      <c r="BR191" s="11">
        <v>40856</v>
      </c>
      <c r="BS191" s="12" t="s">
        <v>91</v>
      </c>
      <c r="BT191" s="12" t="s">
        <v>90</v>
      </c>
      <c r="BU191" s="12">
        <v>2</v>
      </c>
      <c r="BV191" s="12">
        <v>1</v>
      </c>
      <c r="BW191" s="12">
        <v>7</v>
      </c>
      <c r="BX191" s="12"/>
      <c r="BY191" s="12"/>
      <c r="BZ191" s="12">
        <v>13.9</v>
      </c>
      <c r="CA191" s="12">
        <v>292</v>
      </c>
      <c r="CB191" s="12">
        <v>1.71</v>
      </c>
      <c r="CC191" s="12"/>
      <c r="CD191" s="12"/>
      <c r="CE191" s="12">
        <v>2</v>
      </c>
      <c r="CF191" s="11">
        <v>40933</v>
      </c>
      <c r="CG191" s="7">
        <f>CF191-AJ191</f>
        <v>37</v>
      </c>
      <c r="CH191" s="11" t="s">
        <v>427</v>
      </c>
      <c r="CI191" s="11" t="s">
        <v>45</v>
      </c>
      <c r="CJ191" s="11" t="s">
        <v>45</v>
      </c>
      <c r="CK191" s="12" t="s">
        <v>357</v>
      </c>
      <c r="CL191" s="12" t="s">
        <v>357</v>
      </c>
      <c r="CM191" s="12" t="s">
        <v>357</v>
      </c>
      <c r="CN191" s="12"/>
      <c r="CO191" s="12" t="s">
        <v>357</v>
      </c>
      <c r="CP191" s="12"/>
      <c r="CQ191" s="12" t="s">
        <v>357</v>
      </c>
      <c r="CR191" s="12" t="s">
        <v>45</v>
      </c>
      <c r="CS191" s="12" t="s">
        <v>357</v>
      </c>
      <c r="CT191" s="12" t="s">
        <v>357</v>
      </c>
      <c r="CU191" s="12" t="s">
        <v>357</v>
      </c>
      <c r="CV191" s="12" t="s">
        <v>357</v>
      </c>
      <c r="CW191" s="12" t="s">
        <v>357</v>
      </c>
      <c r="CX191" s="12" t="s">
        <v>357</v>
      </c>
      <c r="CY191" s="12" t="s">
        <v>357</v>
      </c>
      <c r="CZ191" s="12" t="s">
        <v>357</v>
      </c>
      <c r="DA191" s="12" t="s">
        <v>357</v>
      </c>
      <c r="DB191" s="13" t="s">
        <v>45</v>
      </c>
      <c r="DC191" s="12" t="s">
        <v>357</v>
      </c>
      <c r="DD191" s="12" t="s">
        <v>357</v>
      </c>
      <c r="DE191" s="12" t="s">
        <v>357</v>
      </c>
      <c r="DF191" s="12" t="s">
        <v>357</v>
      </c>
      <c r="DG191" s="12" t="s">
        <v>357</v>
      </c>
      <c r="DH191" s="16">
        <v>1</v>
      </c>
      <c r="DI191" s="16">
        <v>0</v>
      </c>
      <c r="DJ191" s="11">
        <v>41023</v>
      </c>
      <c r="DK191" s="12" t="s">
        <v>374</v>
      </c>
      <c r="DL191" s="12">
        <f>(DJ191-I191)/365.25*12</f>
        <v>5.4866529774127315</v>
      </c>
      <c r="DM191" s="12">
        <v>0</v>
      </c>
      <c r="DN191" s="12" t="s">
        <v>45</v>
      </c>
      <c r="DO191" s="12" t="s">
        <v>45</v>
      </c>
      <c r="DP191" s="12" t="s">
        <v>45</v>
      </c>
      <c r="DQ191" s="16">
        <v>0</v>
      </c>
      <c r="DR191" s="11" t="s">
        <v>45</v>
      </c>
      <c r="DS191" s="10">
        <f>IF(DQ191=1, (DR191-$I191)/365.25*12, IF(DQ191=0, $DL191, "ERROR"))</f>
        <v>5.4866529774127315</v>
      </c>
      <c r="DT191" s="16">
        <v>0</v>
      </c>
      <c r="DU191" s="16">
        <v>0</v>
      </c>
      <c r="DV191" s="16">
        <v>0</v>
      </c>
      <c r="DW191" s="16">
        <f>DU191*(1-DV191)</f>
        <v>0</v>
      </c>
      <c r="DX191" s="16">
        <f>(1-DU191)*DV191</f>
        <v>0</v>
      </c>
      <c r="DY191" s="16">
        <f>DU191*DV191</f>
        <v>0</v>
      </c>
      <c r="DZ191" s="11" t="s">
        <v>45</v>
      </c>
      <c r="EA191" s="10">
        <f>IF(DT191=1, (DZ191-$I191)/365.25*12, IF(DT191=0, $DL191, "ERROR"))</f>
        <v>5.4866529774127315</v>
      </c>
      <c r="EB191" s="16">
        <v>0</v>
      </c>
      <c r="EC191" s="16">
        <v>0</v>
      </c>
      <c r="ED191" s="16">
        <f>1-((1-DQ191)*(1-DT191))</f>
        <v>0</v>
      </c>
      <c r="EE191" s="11" t="s">
        <v>45</v>
      </c>
      <c r="EF191" s="12" t="s">
        <v>45</v>
      </c>
      <c r="EG191" s="16" t="s">
        <v>45</v>
      </c>
      <c r="EH191" s="12" t="s">
        <v>45</v>
      </c>
      <c r="EI191" s="12">
        <v>0</v>
      </c>
      <c r="EJ191" s="16">
        <f>(1-DQ191)*DX191*(1-EI191)</f>
        <v>0</v>
      </c>
      <c r="EK191" s="12" t="s">
        <v>45</v>
      </c>
      <c r="EL191" s="10">
        <f>IF(EI191=1, (EK191-$I191)/365.25*12, IF(EI191=0, $DL191, "ERROR"))</f>
        <v>5.4866529774127315</v>
      </c>
      <c r="EM191" s="12" t="s">
        <v>45</v>
      </c>
      <c r="EN191" s="12"/>
      <c r="EO191" s="12"/>
      <c r="EP191" s="12"/>
      <c r="EQ191" s="12"/>
      <c r="ER191" s="12"/>
      <c r="ES191" s="12"/>
      <c r="ET191" s="12"/>
      <c r="EU191" s="12"/>
      <c r="EV191" s="12"/>
      <c r="EW191" s="12"/>
      <c r="EX191" s="16">
        <v>0</v>
      </c>
      <c r="EY191" s="16"/>
      <c r="EZ191" s="16"/>
      <c r="FA191" s="16"/>
      <c r="FB191" s="12" t="s">
        <v>45</v>
      </c>
      <c r="FC191" s="12">
        <v>1</v>
      </c>
      <c r="FD191" s="12">
        <v>1</v>
      </c>
      <c r="FE191" s="12" t="s">
        <v>374</v>
      </c>
      <c r="FF191" s="18">
        <v>41023</v>
      </c>
      <c r="FG191" s="3">
        <f>IF(FC191=1, FF191, IF(FD191=1, 44348, DJ191))</f>
        <v>41023</v>
      </c>
      <c r="FH191" s="13">
        <f>(FG191-I191)/365.25*12</f>
        <v>5.4866529774127315</v>
      </c>
      <c r="FI191" s="13"/>
      <c r="FJ191" s="14">
        <f>IF(OR(DM191,FC191), 1, 0)</f>
        <v>1</v>
      </c>
      <c r="FK191" s="11">
        <f>IF(DM191=1,IF(FC191=1,MIN(DO191,FF191),DO191),IF(FC191=1,FF191,DJ191))</f>
        <v>41023</v>
      </c>
      <c r="FL191" s="13">
        <f>(FK191-$I191)/365.25*12</f>
        <v>5.4866529774127315</v>
      </c>
      <c r="FM191" s="14">
        <f>IF(OR(ED191,FC191), 1, 0)</f>
        <v>1</v>
      </c>
      <c r="FN191" s="11">
        <f>IF(ED191=1,IF(FC191=1,MIN(EE191,FF191),EE191),IF(FC191=1,FF191,DJ191))</f>
        <v>41023</v>
      </c>
      <c r="FO191" s="13">
        <f>(FN191-$I191)/365.25*12</f>
        <v>5.4866529774127315</v>
      </c>
      <c r="FP191" s="14">
        <f>IF(OR(EI191,FC191), 1, 0)</f>
        <v>1</v>
      </c>
      <c r="FQ191" s="11">
        <f>IF(EI191=1,IF(FC191=1,MIN(EK191,FF191),EK191),IF(FC191=1,FF191,DJ191))</f>
        <v>41023</v>
      </c>
      <c r="FR191" s="13">
        <f>(FQ191-$I191)/365.25*12</f>
        <v>5.4866529774127315</v>
      </c>
      <c r="FS191" s="12"/>
      <c r="FT191" s="12"/>
      <c r="FU191" s="12">
        <v>1</v>
      </c>
      <c r="FV191" s="12">
        <v>1</v>
      </c>
      <c r="FW191" s="12">
        <v>1</v>
      </c>
      <c r="FX191" s="12">
        <v>0</v>
      </c>
      <c r="FY191" s="12" t="s">
        <v>426</v>
      </c>
      <c r="FZ191" s="12"/>
    </row>
    <row r="192" spans="1:182" ht="12.75" hidden="1" customHeight="1">
      <c r="A192" s="1" t="s">
        <v>425</v>
      </c>
      <c r="B192" s="12" t="s">
        <v>424</v>
      </c>
      <c r="C192" s="12">
        <v>42349893</v>
      </c>
      <c r="D192" s="12">
        <v>0</v>
      </c>
      <c r="E192" s="12">
        <v>0</v>
      </c>
      <c r="F192" s="12"/>
      <c r="G192" s="12">
        <v>1</v>
      </c>
      <c r="H192" s="21"/>
      <c r="I192" s="11">
        <v>40868</v>
      </c>
      <c r="J192" s="11">
        <v>40847</v>
      </c>
      <c r="K192" s="11">
        <v>16752</v>
      </c>
      <c r="L192" s="20">
        <f>(DAYS360(K192,I192))/365</f>
        <v>65.123287671232873</v>
      </c>
      <c r="M192" s="12" t="s">
        <v>370</v>
      </c>
      <c r="N192" s="12">
        <v>1</v>
      </c>
      <c r="O192" s="12">
        <v>0</v>
      </c>
      <c r="P192" s="12" t="s">
        <v>423</v>
      </c>
      <c r="Q192" s="12">
        <v>1</v>
      </c>
      <c r="R192" s="12" t="s">
        <v>422</v>
      </c>
      <c r="S192" s="12">
        <v>30</v>
      </c>
      <c r="T192" s="12" t="s">
        <v>368</v>
      </c>
      <c r="U192" s="12">
        <v>0</v>
      </c>
      <c r="V192" s="12">
        <v>0</v>
      </c>
      <c r="W192" s="12">
        <v>1</v>
      </c>
      <c r="X192" s="12" t="s">
        <v>421</v>
      </c>
      <c r="Y192" s="12">
        <v>1</v>
      </c>
      <c r="Z192" s="12">
        <v>1</v>
      </c>
      <c r="AA192" s="12" t="s">
        <v>382</v>
      </c>
      <c r="AB192" s="12" t="s">
        <v>381</v>
      </c>
      <c r="AC192" s="12">
        <v>2</v>
      </c>
      <c r="AD192" s="12" t="s">
        <v>407</v>
      </c>
      <c r="AE192" s="12"/>
      <c r="AF192" s="12">
        <v>0</v>
      </c>
      <c r="AG192" s="12">
        <v>0</v>
      </c>
      <c r="AH192" s="12">
        <v>0</v>
      </c>
      <c r="AI192" s="11">
        <v>40868</v>
      </c>
      <c r="AJ192" s="11">
        <v>40906</v>
      </c>
      <c r="AK192" s="19" t="s">
        <v>420</v>
      </c>
      <c r="AL192" s="19" t="s">
        <v>419</v>
      </c>
      <c r="AM192" s="12">
        <v>1</v>
      </c>
      <c r="AN192" s="12">
        <v>1</v>
      </c>
      <c r="AO192" s="12">
        <v>1</v>
      </c>
      <c r="AP192" s="12">
        <v>0</v>
      </c>
      <c r="AQ192" s="12">
        <v>0</v>
      </c>
      <c r="AR192" s="12">
        <v>0</v>
      </c>
      <c r="AS192" s="12"/>
      <c r="AT192" s="12"/>
      <c r="AU192" s="12">
        <v>4</v>
      </c>
      <c r="AV192" s="12">
        <v>1</v>
      </c>
      <c r="AW192" s="12"/>
      <c r="AX192" s="12">
        <v>0</v>
      </c>
      <c r="AY192" s="19" t="s">
        <v>357</v>
      </c>
      <c r="AZ192" s="12">
        <v>1</v>
      </c>
      <c r="BA192" s="12"/>
      <c r="BB192" s="12"/>
      <c r="BC192" s="12"/>
      <c r="BD192" s="12"/>
      <c r="BE192" s="12"/>
      <c r="BF192" s="12" t="s">
        <v>418</v>
      </c>
      <c r="BG192" s="12" t="s">
        <v>360</v>
      </c>
      <c r="BH192" s="12">
        <v>45</v>
      </c>
      <c r="BI192" s="12">
        <v>5.4</v>
      </c>
      <c r="BJ192" s="12">
        <v>1</v>
      </c>
      <c r="BK192" s="12">
        <f>BH192+BI192</f>
        <v>50.4</v>
      </c>
      <c r="BL192" s="12">
        <v>28</v>
      </c>
      <c r="BM192" s="12">
        <v>1.8</v>
      </c>
      <c r="BN192" s="12" t="s">
        <v>359</v>
      </c>
      <c r="BO192" s="12">
        <v>0</v>
      </c>
      <c r="BP192" s="12">
        <v>1</v>
      </c>
      <c r="BQ192" s="12">
        <v>1</v>
      </c>
      <c r="BR192" s="11">
        <v>40868</v>
      </c>
      <c r="BS192" s="12" t="s">
        <v>78</v>
      </c>
      <c r="BT192" s="12" t="s">
        <v>77</v>
      </c>
      <c r="BU192" s="12">
        <v>6</v>
      </c>
      <c r="BV192" s="12">
        <v>1</v>
      </c>
      <c r="BW192" s="12">
        <v>6.4</v>
      </c>
      <c r="BX192" s="12"/>
      <c r="BY192" s="12"/>
      <c r="BZ192" s="12">
        <v>13.9</v>
      </c>
      <c r="CA192" s="12">
        <v>230</v>
      </c>
      <c r="CB192" s="12">
        <v>1.86</v>
      </c>
      <c r="CC192" s="12"/>
      <c r="CD192" s="12"/>
      <c r="CE192" s="12">
        <v>0</v>
      </c>
      <c r="CF192" s="11" t="s">
        <v>417</v>
      </c>
      <c r="CH192" s="12" t="s">
        <v>376</v>
      </c>
      <c r="CI192" s="12" t="s">
        <v>45</v>
      </c>
      <c r="CJ192" s="12" t="s">
        <v>45</v>
      </c>
      <c r="CK192" s="12" t="s">
        <v>357</v>
      </c>
      <c r="CL192" s="12" t="s">
        <v>357</v>
      </c>
      <c r="CM192" s="12" t="s">
        <v>357</v>
      </c>
      <c r="CN192" s="12"/>
      <c r="CO192" s="12" t="s">
        <v>357</v>
      </c>
      <c r="CP192" s="12"/>
      <c r="CQ192" s="12" t="s">
        <v>357</v>
      </c>
      <c r="CR192" s="12" t="s">
        <v>45</v>
      </c>
      <c r="CS192" s="12" t="s">
        <v>357</v>
      </c>
      <c r="CT192" s="12" t="s">
        <v>357</v>
      </c>
      <c r="CU192" s="12" t="s">
        <v>357</v>
      </c>
      <c r="CV192" s="12" t="s">
        <v>357</v>
      </c>
      <c r="CW192" s="12" t="s">
        <v>357</v>
      </c>
      <c r="CX192" s="12" t="s">
        <v>357</v>
      </c>
      <c r="CY192" s="12" t="s">
        <v>357</v>
      </c>
      <c r="CZ192" s="12" t="s">
        <v>357</v>
      </c>
      <c r="DA192" s="12" t="s">
        <v>357</v>
      </c>
      <c r="DB192" s="13" t="s">
        <v>45</v>
      </c>
      <c r="DC192" s="12" t="s">
        <v>357</v>
      </c>
      <c r="DD192" s="12" t="s">
        <v>357</v>
      </c>
      <c r="DE192" s="12" t="s">
        <v>357</v>
      </c>
      <c r="DF192" s="12" t="s">
        <v>357</v>
      </c>
      <c r="DG192" s="12" t="s">
        <v>357</v>
      </c>
      <c r="DH192" s="16">
        <v>0</v>
      </c>
      <c r="DI192" s="16">
        <v>0</v>
      </c>
      <c r="DJ192" s="11">
        <v>41099</v>
      </c>
      <c r="DK192" s="11"/>
      <c r="DL192" s="12">
        <f>(DJ192-I192)/365.25*12</f>
        <v>7.5893223819301854</v>
      </c>
      <c r="DM192" s="12">
        <v>1</v>
      </c>
      <c r="DN192" s="12" t="s">
        <v>416</v>
      </c>
      <c r="DO192" s="11">
        <v>41099</v>
      </c>
      <c r="DP192" s="11" t="s">
        <v>415</v>
      </c>
      <c r="DQ192" s="16">
        <v>0</v>
      </c>
      <c r="DR192" s="11" t="s">
        <v>45</v>
      </c>
      <c r="DS192" s="10">
        <f>IF(DQ192=1, (DR192-$I192)/365.25*12, IF(DQ192=0, $DL192, "ERROR"))</f>
        <v>7.5893223819301854</v>
      </c>
      <c r="DT192" s="16">
        <v>1</v>
      </c>
      <c r="DU192" s="16">
        <v>1</v>
      </c>
      <c r="DV192" s="16">
        <v>0</v>
      </c>
      <c r="DW192" s="16">
        <f>DU192*(1-DV192)</f>
        <v>1</v>
      </c>
      <c r="DX192" s="16">
        <f>(1-DU192)*DV192</f>
        <v>0</v>
      </c>
      <c r="DY192" s="16">
        <f>DU192*DV192</f>
        <v>0</v>
      </c>
      <c r="DZ192" s="11">
        <v>41099</v>
      </c>
      <c r="EA192" s="10">
        <f>IF(DT192=1, (DZ192-$I192)/365.25*12, IF(DT192=0, $DL192, "ERROR"))</f>
        <v>7.5893223819301854</v>
      </c>
      <c r="EB192" s="16">
        <v>1</v>
      </c>
      <c r="EC192" s="16">
        <v>0</v>
      </c>
      <c r="ED192" s="16">
        <f>1-((1-DQ192)*(1-DT192))</f>
        <v>1</v>
      </c>
      <c r="EE192" s="11">
        <f>MIN(DR192,DZ192)</f>
        <v>41099</v>
      </c>
      <c r="EF192" s="11" t="s">
        <v>45</v>
      </c>
      <c r="EG192" s="16" t="s">
        <v>45</v>
      </c>
      <c r="EH192" s="11" t="s">
        <v>45</v>
      </c>
      <c r="EI192" s="12">
        <v>1</v>
      </c>
      <c r="EJ192" s="16">
        <f>(1-DQ192)*DX192*(1-EI192)</f>
        <v>0</v>
      </c>
      <c r="EK192" s="11">
        <v>41099</v>
      </c>
      <c r="EL192" s="10">
        <f>IF(EI192=1, (EK192-$I192)/365.25*12, IF(EI192=0, $DL192, "ERROR"))</f>
        <v>7.5893223819301854</v>
      </c>
      <c r="EM192" s="11" t="s">
        <v>414</v>
      </c>
      <c r="EN192" s="11"/>
      <c r="EO192" s="11"/>
      <c r="EP192" s="11"/>
      <c r="EQ192" s="11"/>
      <c r="ER192" s="11"/>
      <c r="ES192" s="11"/>
      <c r="ET192" s="11"/>
      <c r="EU192" s="11"/>
      <c r="EV192" s="11"/>
      <c r="EW192" s="11"/>
      <c r="EX192" s="16">
        <v>0</v>
      </c>
      <c r="EY192" s="16"/>
      <c r="EZ192" s="16"/>
      <c r="FA192" s="16"/>
      <c r="FB192" s="11" t="s">
        <v>45</v>
      </c>
      <c r="FC192" s="12">
        <v>1</v>
      </c>
      <c r="FD192" s="12">
        <v>1</v>
      </c>
      <c r="FE192" s="11"/>
      <c r="FF192" s="18">
        <v>41807</v>
      </c>
      <c r="FG192" s="3">
        <f>IF(FC192=1, FF192, IF(FD192=1, 44348, DJ192))</f>
        <v>41807</v>
      </c>
      <c r="FH192" s="13">
        <f>(FG192-I192)/365.25*12</f>
        <v>30.850102669404521</v>
      </c>
      <c r="FI192" s="13"/>
      <c r="FJ192" s="14">
        <f>IF(OR(DM192,FC192), 1, 0)</f>
        <v>1</v>
      </c>
      <c r="FK192" s="11">
        <f>IF(DM192=1,IF(FC192=1,MIN(DO192,FF192),DO192),IF(FC192=1,FF192,DJ192))</f>
        <v>41099</v>
      </c>
      <c r="FL192" s="13">
        <f>(FK192-$I192)/365.25*12</f>
        <v>7.5893223819301854</v>
      </c>
      <c r="FM192" s="14">
        <f>IF(OR(ED192,FC192), 1, 0)</f>
        <v>1</v>
      </c>
      <c r="FN192" s="11">
        <f>IF(ED192=1,IF(FC192=1,MIN(EE192,FF192),EE192),IF(FC192=1,FF192,DJ192))</f>
        <v>41099</v>
      </c>
      <c r="FO192" s="13">
        <f>(FN192-$I192)/365.25*12</f>
        <v>7.5893223819301854</v>
      </c>
      <c r="FP192" s="14">
        <f>IF(OR(EI192,FC192), 1, 0)</f>
        <v>1</v>
      </c>
      <c r="FQ192" s="11">
        <f>IF(EI192=1,IF(FC192=1,MIN(EK192,FF192),EK192),IF(FC192=1,FF192,DJ192))</f>
        <v>41099</v>
      </c>
      <c r="FR192" s="13">
        <f>(FQ192-$I192)/365.25*12</f>
        <v>7.5893223819301854</v>
      </c>
      <c r="FS192" s="12"/>
      <c r="FT192" s="12"/>
      <c r="FU192" s="12">
        <v>0</v>
      </c>
      <c r="FV192" s="12">
        <v>0</v>
      </c>
      <c r="FW192" s="12">
        <v>0</v>
      </c>
      <c r="FX192" s="12">
        <v>0</v>
      </c>
      <c r="FY192" s="12" t="s">
        <v>413</v>
      </c>
      <c r="FZ192" s="12"/>
    </row>
    <row r="193" spans="1:182" ht="12.75" hidden="1" customHeight="1">
      <c r="A193" s="1" t="s">
        <v>412</v>
      </c>
      <c r="B193" s="12" t="s">
        <v>411</v>
      </c>
      <c r="C193" s="12">
        <v>42865991</v>
      </c>
      <c r="D193" s="12">
        <v>0</v>
      </c>
      <c r="E193" s="12">
        <v>0</v>
      </c>
      <c r="F193" s="12"/>
      <c r="G193" s="12">
        <v>1</v>
      </c>
      <c r="H193" s="21"/>
      <c r="I193" s="11">
        <v>41022</v>
      </c>
      <c r="J193" s="11">
        <v>40988</v>
      </c>
      <c r="K193" s="11">
        <v>12932</v>
      </c>
      <c r="L193" s="20">
        <f>(DAYS360(K193,I193))/365</f>
        <v>75.849315068493155</v>
      </c>
      <c r="M193" s="12" t="s">
        <v>370</v>
      </c>
      <c r="N193" s="12">
        <v>1</v>
      </c>
      <c r="O193" s="12">
        <v>0</v>
      </c>
      <c r="P193" s="12" t="s">
        <v>410</v>
      </c>
      <c r="Q193" s="12">
        <v>2</v>
      </c>
      <c r="R193" s="12" t="s">
        <v>409</v>
      </c>
      <c r="S193" s="12">
        <v>24</v>
      </c>
      <c r="T193" s="12" t="s">
        <v>408</v>
      </c>
      <c r="U193" s="12">
        <v>1</v>
      </c>
      <c r="V193" s="12">
        <v>0</v>
      </c>
      <c r="W193" s="12">
        <v>0</v>
      </c>
      <c r="X193" s="12" t="s">
        <v>395</v>
      </c>
      <c r="Y193" s="12">
        <v>3</v>
      </c>
      <c r="Z193" s="12">
        <v>1</v>
      </c>
      <c r="AA193" s="12" t="s">
        <v>366</v>
      </c>
      <c r="AB193" s="12" t="s">
        <v>365</v>
      </c>
      <c r="AC193" s="12">
        <v>3</v>
      </c>
      <c r="AD193" s="12" t="s">
        <v>407</v>
      </c>
      <c r="AE193" s="12"/>
      <c r="AF193" s="12">
        <v>0</v>
      </c>
      <c r="AG193" s="12">
        <v>0</v>
      </c>
      <c r="AH193" s="12">
        <v>0</v>
      </c>
      <c r="AI193" s="11">
        <v>41022</v>
      </c>
      <c r="AJ193" s="11">
        <v>41061</v>
      </c>
      <c r="AK193" s="19" t="s">
        <v>406</v>
      </c>
      <c r="AL193" s="19" t="s">
        <v>405</v>
      </c>
      <c r="AM193" s="12">
        <v>1</v>
      </c>
      <c r="AN193" s="12">
        <v>0</v>
      </c>
      <c r="AO193" s="12">
        <v>1</v>
      </c>
      <c r="AP193" s="12">
        <v>0</v>
      </c>
      <c r="AQ193" s="12">
        <v>0</v>
      </c>
      <c r="AR193" s="12">
        <v>0</v>
      </c>
      <c r="AS193" s="12"/>
      <c r="AT193" s="12"/>
      <c r="AU193" s="12">
        <v>4</v>
      </c>
      <c r="AV193" s="19" t="s">
        <v>357</v>
      </c>
      <c r="AW193" s="19"/>
      <c r="AX193" s="12">
        <v>0</v>
      </c>
      <c r="AY193" s="19" t="s">
        <v>357</v>
      </c>
      <c r="AZ193" s="12">
        <v>1</v>
      </c>
      <c r="BA193" s="12"/>
      <c r="BB193" s="12"/>
      <c r="BC193" s="12"/>
      <c r="BD193" s="12"/>
      <c r="BE193" s="12"/>
      <c r="BF193" s="12" t="s">
        <v>404</v>
      </c>
      <c r="BG193" s="12" t="s">
        <v>360</v>
      </c>
      <c r="BH193" s="12">
        <v>45</v>
      </c>
      <c r="BI193" s="12">
        <v>5.4</v>
      </c>
      <c r="BJ193" s="12">
        <v>1</v>
      </c>
      <c r="BK193" s="12">
        <f>BH193+BI193</f>
        <v>50.4</v>
      </c>
      <c r="BL193" s="12">
        <v>28</v>
      </c>
      <c r="BM193" s="12">
        <v>1.8</v>
      </c>
      <c r="BN193" s="12" t="s">
        <v>359</v>
      </c>
      <c r="BO193" s="12">
        <v>0</v>
      </c>
      <c r="BP193" s="12">
        <v>1</v>
      </c>
      <c r="BQ193" s="12">
        <v>1</v>
      </c>
      <c r="BR193" s="11">
        <v>41022</v>
      </c>
      <c r="BS193" s="12" t="s">
        <v>91</v>
      </c>
      <c r="BT193" s="12" t="s">
        <v>90</v>
      </c>
      <c r="BU193" s="12">
        <v>2</v>
      </c>
      <c r="BV193" s="12">
        <v>1</v>
      </c>
      <c r="BW193" s="12">
        <v>8</v>
      </c>
      <c r="BX193" s="12"/>
      <c r="BY193" s="12"/>
      <c r="BZ193" s="12">
        <v>13.5</v>
      </c>
      <c r="CA193" s="12">
        <v>264</v>
      </c>
      <c r="CB193" s="12">
        <v>1.48</v>
      </c>
      <c r="CC193" s="12"/>
      <c r="CD193" s="12"/>
      <c r="CE193" s="12">
        <v>0</v>
      </c>
      <c r="CF193" s="11" t="s">
        <v>403</v>
      </c>
      <c r="CH193" s="12" t="s">
        <v>402</v>
      </c>
      <c r="CI193" s="12" t="s">
        <v>45</v>
      </c>
      <c r="CJ193" s="12" t="s">
        <v>45</v>
      </c>
      <c r="CK193" s="12" t="s">
        <v>357</v>
      </c>
      <c r="CL193" s="12" t="s">
        <v>357</v>
      </c>
      <c r="CM193" s="12" t="s">
        <v>357</v>
      </c>
      <c r="CN193" s="12"/>
      <c r="CO193" s="12" t="s">
        <v>357</v>
      </c>
      <c r="CP193" s="12"/>
      <c r="CQ193" s="12" t="s">
        <v>357</v>
      </c>
      <c r="CR193" s="12" t="s">
        <v>45</v>
      </c>
      <c r="CS193" s="12" t="s">
        <v>357</v>
      </c>
      <c r="CT193" s="12" t="s">
        <v>357</v>
      </c>
      <c r="CU193" s="12" t="s">
        <v>357</v>
      </c>
      <c r="CV193" s="12" t="s">
        <v>357</v>
      </c>
      <c r="CW193" s="12" t="s">
        <v>357</v>
      </c>
      <c r="CX193" s="12" t="s">
        <v>357</v>
      </c>
      <c r="CY193" s="12" t="s">
        <v>357</v>
      </c>
      <c r="CZ193" s="12" t="s">
        <v>357</v>
      </c>
      <c r="DA193" s="12" t="s">
        <v>357</v>
      </c>
      <c r="DB193" s="13" t="s">
        <v>45</v>
      </c>
      <c r="DC193" s="12" t="s">
        <v>357</v>
      </c>
      <c r="DD193" s="12" t="s">
        <v>357</v>
      </c>
      <c r="DE193" s="12" t="s">
        <v>357</v>
      </c>
      <c r="DF193" s="12" t="s">
        <v>357</v>
      </c>
      <c r="DG193" s="12" t="s">
        <v>357</v>
      </c>
      <c r="DH193" s="16">
        <v>0</v>
      </c>
      <c r="DI193" s="16">
        <v>0</v>
      </c>
      <c r="DJ193" s="11">
        <v>41667</v>
      </c>
      <c r="DK193" s="11"/>
      <c r="DL193" s="12">
        <f>(DJ193-I193)/365.25*12</f>
        <v>21.190965092402465</v>
      </c>
      <c r="DM193" s="12">
        <v>1</v>
      </c>
      <c r="DN193" s="12" t="s">
        <v>401</v>
      </c>
      <c r="DO193" s="11">
        <v>41667</v>
      </c>
      <c r="DP193" s="11" t="s">
        <v>45</v>
      </c>
      <c r="DQ193" s="16">
        <v>1</v>
      </c>
      <c r="DR193" s="11">
        <v>41667</v>
      </c>
      <c r="DS193" s="10">
        <f>IF(DQ193=1, (DR193-$I193)/365.25*12, IF(DQ193=0, $DL193, "ERROR"))</f>
        <v>21.190965092402465</v>
      </c>
      <c r="DT193" s="16">
        <v>0</v>
      </c>
      <c r="DU193" s="16">
        <v>0</v>
      </c>
      <c r="DV193" s="16">
        <v>0</v>
      </c>
      <c r="DW193" s="16">
        <f>DU193*(1-DV193)</f>
        <v>0</v>
      </c>
      <c r="DX193" s="16">
        <f>(1-DU193)*DV193</f>
        <v>0</v>
      </c>
      <c r="DY193" s="16">
        <f>DU193*DV193</f>
        <v>0</v>
      </c>
      <c r="DZ193" s="11" t="s">
        <v>45</v>
      </c>
      <c r="EA193" s="10">
        <f>IF(DT193=1, (DZ193-$I193)/365.25*12, IF(DT193=0, $DL193, "ERROR"))</f>
        <v>21.190965092402465</v>
      </c>
      <c r="EB193" s="16">
        <v>0</v>
      </c>
      <c r="EC193" s="16">
        <v>0</v>
      </c>
      <c r="ED193" s="16">
        <f>1-((1-DQ193)*(1-DT193))</f>
        <v>1</v>
      </c>
      <c r="EE193" s="11">
        <f>MIN(DR193,DZ193)</f>
        <v>41667</v>
      </c>
      <c r="EF193" s="11" t="s">
        <v>45</v>
      </c>
      <c r="EG193" s="16" t="s">
        <v>45</v>
      </c>
      <c r="EH193" s="11" t="s">
        <v>45</v>
      </c>
      <c r="EI193" s="12">
        <v>1</v>
      </c>
      <c r="EJ193" s="16">
        <f>(1-DQ193)*DX193*(1-EI193)</f>
        <v>0</v>
      </c>
      <c r="EK193" s="11">
        <v>41667</v>
      </c>
      <c r="EL193" s="10">
        <f>IF(EI193=1, (EK193-$I193)/365.25*12, IF(EI193=0, $DL193, "ERROR"))</f>
        <v>21.190965092402465</v>
      </c>
      <c r="EM193" s="11" t="s">
        <v>400</v>
      </c>
      <c r="EN193" s="11"/>
      <c r="EO193" s="11"/>
      <c r="EP193" s="11"/>
      <c r="EQ193" s="11"/>
      <c r="ER193" s="11"/>
      <c r="ES193" s="11"/>
      <c r="ET193" s="11"/>
      <c r="EU193" s="11"/>
      <c r="EV193" s="11"/>
      <c r="EW193" s="11"/>
      <c r="EX193" s="16">
        <v>0</v>
      </c>
      <c r="EY193" s="16"/>
      <c r="EZ193" s="16"/>
      <c r="FA193" s="16"/>
      <c r="FB193" s="11" t="s">
        <v>45</v>
      </c>
      <c r="FC193" s="12">
        <v>1</v>
      </c>
      <c r="FD193" s="12">
        <v>1</v>
      </c>
      <c r="FE193" s="11"/>
      <c r="FF193" s="18">
        <v>41726</v>
      </c>
      <c r="FG193" s="3">
        <f>IF(FC193=1, FF193, IF(FD193=1, 44348, DJ193))</f>
        <v>41726</v>
      </c>
      <c r="FH193" s="13">
        <f>(FG193-I193)/365.25*12</f>
        <v>23.129363449691994</v>
      </c>
      <c r="FI193" s="13"/>
      <c r="FJ193" s="14">
        <f>IF(OR(DM193,FC193), 1, 0)</f>
        <v>1</v>
      </c>
      <c r="FK193" s="11">
        <f>IF(DM193=1,IF(FC193=1,MIN(DO193,FF193),DO193),IF(FC193=1,FF193,DJ193))</f>
        <v>41667</v>
      </c>
      <c r="FL193" s="13">
        <f>(FK193-$I193)/365.25*12</f>
        <v>21.190965092402465</v>
      </c>
      <c r="FM193" s="14">
        <f>IF(OR(ED193,FC193), 1, 0)</f>
        <v>1</v>
      </c>
      <c r="FN193" s="11">
        <f>IF(ED193=1,IF(FC193=1,MIN(EE193,FF193),EE193),IF(FC193=1,FF193,DJ193))</f>
        <v>41667</v>
      </c>
      <c r="FO193" s="13">
        <f>(FN193-$I193)/365.25*12</f>
        <v>21.190965092402465</v>
      </c>
      <c r="FP193" s="14">
        <f>IF(OR(EI193,FC193), 1, 0)</f>
        <v>1</v>
      </c>
      <c r="FQ193" s="11">
        <f>IF(EI193=1,IF(FC193=1,MIN(EK193,FF193),EK193),IF(FC193=1,FF193,DJ193))</f>
        <v>41667</v>
      </c>
      <c r="FR193" s="13">
        <f>(FQ193-$I193)/365.25*12</f>
        <v>21.190965092402465</v>
      </c>
      <c r="FS193" s="12"/>
      <c r="FT193" s="12"/>
      <c r="FU193" s="12">
        <v>1</v>
      </c>
      <c r="FV193" s="12">
        <v>1</v>
      </c>
      <c r="FW193" s="12">
        <v>1</v>
      </c>
      <c r="FX193" s="12">
        <v>0</v>
      </c>
      <c r="FY193" s="12" t="s">
        <v>399</v>
      </c>
      <c r="FZ193" s="12"/>
    </row>
    <row r="194" spans="1:182" ht="12.75" hidden="1" customHeight="1">
      <c r="A194" s="1" t="s">
        <v>398</v>
      </c>
      <c r="B194" s="12" t="s">
        <v>397</v>
      </c>
      <c r="C194" s="12">
        <v>43046212</v>
      </c>
      <c r="D194" s="12">
        <v>0</v>
      </c>
      <c r="E194" s="12">
        <v>0</v>
      </c>
      <c r="F194" s="12"/>
      <c r="G194" s="12">
        <v>1</v>
      </c>
      <c r="H194" s="21"/>
      <c r="I194" s="11">
        <v>41060</v>
      </c>
      <c r="J194" s="11">
        <v>41037</v>
      </c>
      <c r="K194" s="11">
        <v>18254</v>
      </c>
      <c r="L194" s="20">
        <f>(DAYS360(K194,I194))/365</f>
        <v>61.586301369863016</v>
      </c>
      <c r="M194" s="12" t="s">
        <v>370</v>
      </c>
      <c r="N194" s="12">
        <v>1</v>
      </c>
      <c r="O194" s="12">
        <v>0</v>
      </c>
      <c r="P194" s="12" t="s">
        <v>357</v>
      </c>
      <c r="Q194" s="12"/>
      <c r="R194" s="12" t="s">
        <v>396</v>
      </c>
      <c r="S194" s="12">
        <v>30</v>
      </c>
      <c r="T194" s="12" t="s">
        <v>368</v>
      </c>
      <c r="U194" s="12">
        <v>0</v>
      </c>
      <c r="V194" s="12">
        <v>0</v>
      </c>
      <c r="W194" s="12">
        <v>1</v>
      </c>
      <c r="X194" s="12" t="s">
        <v>395</v>
      </c>
      <c r="Y194" s="12">
        <v>3</v>
      </c>
      <c r="Z194" s="12">
        <v>1</v>
      </c>
      <c r="AA194" s="12" t="s">
        <v>366</v>
      </c>
      <c r="AB194" s="12" t="s">
        <v>365</v>
      </c>
      <c r="AC194" s="12">
        <v>3</v>
      </c>
      <c r="AD194" s="12" t="s">
        <v>394</v>
      </c>
      <c r="AE194" s="12"/>
      <c r="AF194" s="12">
        <v>0</v>
      </c>
      <c r="AG194" s="12">
        <v>0</v>
      </c>
      <c r="AH194" s="12">
        <v>0</v>
      </c>
      <c r="AI194" s="11">
        <v>41060</v>
      </c>
      <c r="AJ194" s="11">
        <v>41101</v>
      </c>
      <c r="AK194" s="19" t="s">
        <v>393</v>
      </c>
      <c r="AL194" s="19" t="s">
        <v>392</v>
      </c>
      <c r="AM194" s="12">
        <v>0</v>
      </c>
      <c r="AN194" s="12">
        <v>0</v>
      </c>
      <c r="AO194" s="12">
        <v>0</v>
      </c>
      <c r="AP194" s="12">
        <v>0</v>
      </c>
      <c r="AQ194" s="12">
        <v>0</v>
      </c>
      <c r="AR194" s="12">
        <v>0</v>
      </c>
      <c r="AS194" s="12"/>
      <c r="AT194" s="12"/>
      <c r="AU194" s="12">
        <v>4</v>
      </c>
      <c r="AV194" s="12">
        <v>1</v>
      </c>
      <c r="AW194" s="12"/>
      <c r="AX194" s="12">
        <v>1</v>
      </c>
      <c r="AY194" s="19" t="s">
        <v>357</v>
      </c>
      <c r="AZ194" s="12">
        <v>1</v>
      </c>
      <c r="BA194" s="12"/>
      <c r="BB194" s="12"/>
      <c r="BC194" s="12"/>
      <c r="BD194" s="12"/>
      <c r="BE194" s="12"/>
      <c r="BF194" s="12" t="s">
        <v>391</v>
      </c>
      <c r="BG194" s="12" t="s">
        <v>360</v>
      </c>
      <c r="BH194" s="12">
        <v>45</v>
      </c>
      <c r="BI194" s="12">
        <v>5.4</v>
      </c>
      <c r="BJ194" s="12">
        <v>1</v>
      </c>
      <c r="BK194" s="12">
        <f>BH194+BI194</f>
        <v>50.4</v>
      </c>
      <c r="BL194" s="12">
        <v>28</v>
      </c>
      <c r="BM194" s="12">
        <v>1.8</v>
      </c>
      <c r="BN194" s="12" t="s">
        <v>359</v>
      </c>
      <c r="BO194" s="12">
        <v>0</v>
      </c>
      <c r="BP194" s="12">
        <v>1</v>
      </c>
      <c r="BQ194" s="12">
        <v>1</v>
      </c>
      <c r="BR194" s="11">
        <v>41060</v>
      </c>
      <c r="BS194" s="12" t="s">
        <v>91</v>
      </c>
      <c r="BT194" s="12" t="s">
        <v>90</v>
      </c>
      <c r="BU194" s="12">
        <v>2</v>
      </c>
      <c r="BV194" s="12">
        <v>1</v>
      </c>
      <c r="BW194" s="12">
        <v>11.59</v>
      </c>
      <c r="BX194" s="12"/>
      <c r="BY194" s="12"/>
      <c r="BZ194" s="12">
        <v>12.9</v>
      </c>
      <c r="CA194" s="12">
        <v>195</v>
      </c>
      <c r="CB194" s="12">
        <v>1.63</v>
      </c>
      <c r="CC194" s="12"/>
      <c r="CD194" s="12"/>
      <c r="CE194" s="12">
        <v>0</v>
      </c>
      <c r="CF194" s="11" t="s">
        <v>390</v>
      </c>
      <c r="CH194" s="12" t="s">
        <v>376</v>
      </c>
      <c r="CI194" s="12" t="s">
        <v>45</v>
      </c>
      <c r="CJ194" s="12" t="s">
        <v>45</v>
      </c>
      <c r="CK194" s="12" t="s">
        <v>357</v>
      </c>
      <c r="CL194" s="12" t="s">
        <v>357</v>
      </c>
      <c r="CM194" s="12" t="s">
        <v>357</v>
      </c>
      <c r="CN194" s="12"/>
      <c r="CO194" s="12" t="s">
        <v>357</v>
      </c>
      <c r="CP194" s="12"/>
      <c r="CQ194" s="12" t="s">
        <v>357</v>
      </c>
      <c r="CR194" s="12" t="s">
        <v>45</v>
      </c>
      <c r="CS194" s="12" t="s">
        <v>357</v>
      </c>
      <c r="CT194" s="12" t="s">
        <v>357</v>
      </c>
      <c r="CU194" s="12" t="s">
        <v>357</v>
      </c>
      <c r="CV194" s="12" t="s">
        <v>357</v>
      </c>
      <c r="CW194" s="12" t="s">
        <v>357</v>
      </c>
      <c r="CX194" s="12" t="s">
        <v>357</v>
      </c>
      <c r="CY194" s="12" t="s">
        <v>357</v>
      </c>
      <c r="CZ194" s="12" t="s">
        <v>357</v>
      </c>
      <c r="DA194" s="12" t="s">
        <v>357</v>
      </c>
      <c r="DB194" s="13" t="s">
        <v>45</v>
      </c>
      <c r="DC194" s="12" t="s">
        <v>357</v>
      </c>
      <c r="DD194" s="12" t="s">
        <v>357</v>
      </c>
      <c r="DE194" s="12" t="s">
        <v>357</v>
      </c>
      <c r="DF194" s="12" t="s">
        <v>357</v>
      </c>
      <c r="DG194" s="12" t="s">
        <v>357</v>
      </c>
      <c r="DH194" s="16">
        <v>0</v>
      </c>
      <c r="DI194" s="16">
        <v>0</v>
      </c>
      <c r="DJ194" s="11">
        <v>41124</v>
      </c>
      <c r="DK194" s="12" t="s">
        <v>389</v>
      </c>
      <c r="DL194" s="12">
        <f>(DJ194-I194)/365.25*12</f>
        <v>2.1026694045174539</v>
      </c>
      <c r="DM194" s="12">
        <v>0</v>
      </c>
      <c r="DN194" s="12" t="s">
        <v>45</v>
      </c>
      <c r="DO194" s="11" t="s">
        <v>45</v>
      </c>
      <c r="DP194" s="12" t="s">
        <v>45</v>
      </c>
      <c r="DQ194" s="16">
        <v>0</v>
      </c>
      <c r="DR194" s="11" t="s">
        <v>45</v>
      </c>
      <c r="DS194" s="10">
        <f>IF(DQ194=1, (DR194-$I194)/365.25*12, IF(DQ194=0, $DL194, "ERROR"))</f>
        <v>2.1026694045174539</v>
      </c>
      <c r="DT194" s="16">
        <v>0</v>
      </c>
      <c r="DU194" s="16">
        <v>0</v>
      </c>
      <c r="DV194" s="16">
        <v>0</v>
      </c>
      <c r="DW194" s="16">
        <f>DU194*(1-DV194)</f>
        <v>0</v>
      </c>
      <c r="DX194" s="16">
        <f>(1-DU194)*DV194</f>
        <v>0</v>
      </c>
      <c r="DY194" s="16">
        <f>DU194*DV194</f>
        <v>0</v>
      </c>
      <c r="DZ194" s="11" t="s">
        <v>45</v>
      </c>
      <c r="EA194" s="10">
        <f>IF(DT194=1, (DZ194-$I194)/365.25*12, IF(DT194=0, $DL194, "ERROR"))</f>
        <v>2.1026694045174539</v>
      </c>
      <c r="EB194" s="16">
        <v>0</v>
      </c>
      <c r="EC194" s="16">
        <v>0</v>
      </c>
      <c r="ED194" s="16">
        <f>1-((1-DQ194)*(1-DT194))</f>
        <v>0</v>
      </c>
      <c r="EE194" s="11" t="s">
        <v>45</v>
      </c>
      <c r="EF194" s="12" t="s">
        <v>45</v>
      </c>
      <c r="EG194" s="16" t="s">
        <v>45</v>
      </c>
      <c r="EH194" s="12" t="s">
        <v>45</v>
      </c>
      <c r="EI194" s="12">
        <v>0</v>
      </c>
      <c r="EJ194" s="16">
        <f>(1-DQ194)*DX194*(1-EI194)</f>
        <v>0</v>
      </c>
      <c r="EK194" s="12" t="s">
        <v>45</v>
      </c>
      <c r="EL194" s="10">
        <f>IF(EI194=1, (EK194-$I194)/365.25*12, IF(EI194=0, $DL194, "ERROR"))</f>
        <v>2.1026694045174539</v>
      </c>
      <c r="EM194" s="12" t="s">
        <v>45</v>
      </c>
      <c r="EN194" s="12"/>
      <c r="EO194" s="12"/>
      <c r="EP194" s="12"/>
      <c r="EQ194" s="12"/>
      <c r="ER194" s="12"/>
      <c r="ES194" s="12"/>
      <c r="ET194" s="12"/>
      <c r="EU194" s="12"/>
      <c r="EV194" s="12"/>
      <c r="EW194" s="12"/>
      <c r="EX194" s="16">
        <v>0</v>
      </c>
      <c r="EY194" s="16"/>
      <c r="EZ194" s="16"/>
      <c r="FA194" s="16"/>
      <c r="FB194" s="12" t="s">
        <v>45</v>
      </c>
      <c r="FC194" s="12">
        <v>1</v>
      </c>
      <c r="FD194" s="12">
        <v>1</v>
      </c>
      <c r="FE194" s="12"/>
      <c r="FF194" s="18">
        <v>41168</v>
      </c>
      <c r="FG194" s="3">
        <f>IF(FC194=1, FF194, IF(FD194=1, 44348, DJ194))</f>
        <v>41168</v>
      </c>
      <c r="FH194" s="13">
        <f>(FG194-I194)/365.25*12</f>
        <v>3.5482546201232035</v>
      </c>
      <c r="FI194" s="13"/>
      <c r="FJ194" s="14">
        <f>IF(OR(DM194,FC194), 1, 0)</f>
        <v>1</v>
      </c>
      <c r="FK194" s="11">
        <f>IF(DM194=1,IF(FC194=1,MIN(DO194,FF194),DO194),IF(FC194=1,FF194,DJ194))</f>
        <v>41168</v>
      </c>
      <c r="FL194" s="13">
        <f>(FK194-$I194)/365.25*12</f>
        <v>3.5482546201232035</v>
      </c>
      <c r="FM194" s="14">
        <f>IF(OR(ED194,FC194), 1, 0)</f>
        <v>1</v>
      </c>
      <c r="FN194" s="11">
        <f>IF(ED194=1,IF(FC194=1,MIN(EE194,FF194),EE194),IF(FC194=1,FF194,DJ194))</f>
        <v>41168</v>
      </c>
      <c r="FO194" s="13">
        <f>(FN194-$I194)/365.25*12</f>
        <v>3.5482546201232035</v>
      </c>
      <c r="FP194" s="14">
        <f>IF(OR(EI194,FC194), 1, 0)</f>
        <v>1</v>
      </c>
      <c r="FQ194" s="11">
        <f>IF(EI194=1,IF(FC194=1,MIN(EK194,FF194),EK194),IF(FC194=1,FF194,DJ194))</f>
        <v>41168</v>
      </c>
      <c r="FR194" s="13">
        <f>(FQ194-$I194)/365.25*12</f>
        <v>3.5482546201232035</v>
      </c>
      <c r="FS194" s="12"/>
      <c r="FT194" s="12"/>
      <c r="FU194" s="12">
        <v>0</v>
      </c>
      <c r="FV194" s="12">
        <v>0</v>
      </c>
      <c r="FW194" s="12">
        <v>1</v>
      </c>
      <c r="FX194" s="12">
        <v>0</v>
      </c>
      <c r="FY194" s="12" t="s">
        <v>388</v>
      </c>
      <c r="FZ194" s="12"/>
    </row>
    <row r="195" spans="1:182" ht="12.75" hidden="1" customHeight="1">
      <c r="A195" s="1" t="s">
        <v>387</v>
      </c>
      <c r="B195" s="12" t="s">
        <v>386</v>
      </c>
      <c r="C195" s="12">
        <v>43154207</v>
      </c>
      <c r="D195" s="12">
        <v>0</v>
      </c>
      <c r="E195" s="12">
        <v>0</v>
      </c>
      <c r="F195" s="12"/>
      <c r="G195" s="12">
        <v>1</v>
      </c>
      <c r="H195" s="21"/>
      <c r="I195" s="11">
        <v>41092</v>
      </c>
      <c r="J195" s="11">
        <v>41073</v>
      </c>
      <c r="K195" s="11">
        <v>24967</v>
      </c>
      <c r="L195" s="20">
        <f>(DAYS360(K195,I195))/365</f>
        <v>43.542465753424658</v>
      </c>
      <c r="M195" s="12" t="s">
        <v>370</v>
      </c>
      <c r="N195" s="12">
        <v>0</v>
      </c>
      <c r="O195" s="12">
        <v>0</v>
      </c>
      <c r="P195" s="12" t="s">
        <v>357</v>
      </c>
      <c r="Q195" s="12"/>
      <c r="R195" s="12" t="s">
        <v>385</v>
      </c>
      <c r="S195" s="12">
        <v>25</v>
      </c>
      <c r="T195" s="12" t="s">
        <v>384</v>
      </c>
      <c r="U195" s="12">
        <v>0</v>
      </c>
      <c r="V195" s="12">
        <v>1</v>
      </c>
      <c r="W195" s="12">
        <v>0</v>
      </c>
      <c r="X195" s="12" t="s">
        <v>383</v>
      </c>
      <c r="Y195" s="12">
        <v>2</v>
      </c>
      <c r="Z195" s="12">
        <v>1</v>
      </c>
      <c r="AA195" s="12" t="s">
        <v>382</v>
      </c>
      <c r="AB195" s="12" t="s">
        <v>381</v>
      </c>
      <c r="AC195" s="12">
        <v>2</v>
      </c>
      <c r="AD195" s="12" t="s">
        <v>380</v>
      </c>
      <c r="AE195" s="12"/>
      <c r="AF195" s="12">
        <v>0</v>
      </c>
      <c r="AG195" s="12">
        <v>0</v>
      </c>
      <c r="AH195" s="12">
        <v>0</v>
      </c>
      <c r="AI195" s="11">
        <v>41092</v>
      </c>
      <c r="AJ195" s="11">
        <v>41129</v>
      </c>
      <c r="AK195" s="19" t="s">
        <v>379</v>
      </c>
      <c r="AL195" s="19" t="s">
        <v>357</v>
      </c>
      <c r="AM195" s="12">
        <v>0</v>
      </c>
      <c r="AN195" s="12">
        <v>0</v>
      </c>
      <c r="AO195" s="12">
        <v>0</v>
      </c>
      <c r="AP195" s="12">
        <v>0</v>
      </c>
      <c r="AQ195" s="12">
        <v>0</v>
      </c>
      <c r="AR195" s="12">
        <v>0</v>
      </c>
      <c r="AS195" s="12"/>
      <c r="AT195" s="12"/>
      <c r="AU195" s="12">
        <v>4.5</v>
      </c>
      <c r="AV195" s="12">
        <v>0.5</v>
      </c>
      <c r="AW195" s="12"/>
      <c r="AX195" s="12">
        <v>0</v>
      </c>
      <c r="AY195" s="19" t="s">
        <v>357</v>
      </c>
      <c r="AZ195" s="12">
        <v>1</v>
      </c>
      <c r="BA195" s="12"/>
      <c r="BB195" s="12"/>
      <c r="BC195" s="12"/>
      <c r="BD195" s="12"/>
      <c r="BE195" s="12"/>
      <c r="BF195" s="12" t="s">
        <v>378</v>
      </c>
      <c r="BG195" s="12" t="s">
        <v>360</v>
      </c>
      <c r="BH195" s="12">
        <v>45</v>
      </c>
      <c r="BI195" s="12">
        <v>5.4</v>
      </c>
      <c r="BJ195" s="12">
        <v>1</v>
      </c>
      <c r="BK195" s="12">
        <f>BH195+BI195</f>
        <v>50.4</v>
      </c>
      <c r="BL195" s="12">
        <v>28</v>
      </c>
      <c r="BM195" s="12">
        <v>1.8</v>
      </c>
      <c r="BN195" s="12" t="s">
        <v>359</v>
      </c>
      <c r="BO195" s="12">
        <v>0</v>
      </c>
      <c r="BP195" s="12">
        <v>1</v>
      </c>
      <c r="BQ195" s="12">
        <v>1</v>
      </c>
      <c r="BR195" s="11">
        <v>41092</v>
      </c>
      <c r="BS195" s="12" t="s">
        <v>91</v>
      </c>
      <c r="BT195" s="12" t="s">
        <v>90</v>
      </c>
      <c r="BU195" s="12">
        <v>2</v>
      </c>
      <c r="BV195" s="12">
        <v>1</v>
      </c>
      <c r="BW195" s="12">
        <v>7.7</v>
      </c>
      <c r="BX195" s="12"/>
      <c r="BY195" s="12"/>
      <c r="BZ195" s="12">
        <v>13.8</v>
      </c>
      <c r="CA195" s="12">
        <v>230</v>
      </c>
      <c r="CB195" s="12">
        <v>1.68</v>
      </c>
      <c r="CC195" s="12"/>
      <c r="CD195" s="12"/>
      <c r="CE195" s="12">
        <v>0</v>
      </c>
      <c r="CF195" s="11" t="s">
        <v>377</v>
      </c>
      <c r="CH195" s="12" t="s">
        <v>376</v>
      </c>
      <c r="CI195" s="12" t="s">
        <v>45</v>
      </c>
      <c r="CJ195" s="12" t="s">
        <v>45</v>
      </c>
      <c r="CK195" s="12" t="s">
        <v>357</v>
      </c>
      <c r="CL195" s="12" t="s">
        <v>357</v>
      </c>
      <c r="CM195" s="12" t="s">
        <v>357</v>
      </c>
      <c r="CN195" s="12"/>
      <c r="CO195" s="12" t="s">
        <v>357</v>
      </c>
      <c r="CP195" s="12"/>
      <c r="CQ195" s="12" t="s">
        <v>357</v>
      </c>
      <c r="CR195" s="12" t="s">
        <v>45</v>
      </c>
      <c r="CS195" s="12" t="s">
        <v>357</v>
      </c>
      <c r="CT195" s="12" t="s">
        <v>357</v>
      </c>
      <c r="CU195" s="12" t="s">
        <v>357</v>
      </c>
      <c r="CV195" s="12" t="s">
        <v>357</v>
      </c>
      <c r="CW195" s="12" t="s">
        <v>357</v>
      </c>
      <c r="CX195" s="12" t="s">
        <v>357</v>
      </c>
      <c r="CY195" s="12" t="s">
        <v>357</v>
      </c>
      <c r="CZ195" s="12" t="s">
        <v>357</v>
      </c>
      <c r="DA195" s="12" t="s">
        <v>357</v>
      </c>
      <c r="DB195" s="13" t="s">
        <v>45</v>
      </c>
      <c r="DC195" s="12" t="s">
        <v>357</v>
      </c>
      <c r="DD195" s="12" t="s">
        <v>357</v>
      </c>
      <c r="DE195" s="12" t="s">
        <v>357</v>
      </c>
      <c r="DF195" s="12" t="s">
        <v>357</v>
      </c>
      <c r="DG195" s="12" t="s">
        <v>357</v>
      </c>
      <c r="DH195" s="16">
        <v>0</v>
      </c>
      <c r="DI195" s="16">
        <v>0</v>
      </c>
      <c r="DJ195" s="11">
        <v>41260</v>
      </c>
      <c r="DK195" s="12" t="s">
        <v>374</v>
      </c>
      <c r="DL195" s="12">
        <f>(DJ195-I195)/365.25*12</f>
        <v>5.5195071868583163</v>
      </c>
      <c r="DM195" s="12">
        <v>1</v>
      </c>
      <c r="DN195" s="12" t="s">
        <v>375</v>
      </c>
      <c r="DO195" s="11">
        <v>41205</v>
      </c>
      <c r="DP195" s="12" t="s">
        <v>45</v>
      </c>
      <c r="DQ195" s="16">
        <v>0</v>
      </c>
      <c r="DR195" s="11" t="s">
        <v>45</v>
      </c>
      <c r="DS195" s="10">
        <f>IF(DQ195=1, (DR195-$I195)/365.25*12, IF(DQ195=0, $DL195, "ERROR"))</f>
        <v>5.5195071868583163</v>
      </c>
      <c r="DT195" s="16">
        <v>0</v>
      </c>
      <c r="DU195" s="16">
        <v>0</v>
      </c>
      <c r="DV195" s="16">
        <v>0</v>
      </c>
      <c r="DW195" s="16">
        <f>DU195*(1-DV195)</f>
        <v>0</v>
      </c>
      <c r="DX195" s="16">
        <f>(1-DU195)*DV195</f>
        <v>0</v>
      </c>
      <c r="DY195" s="16">
        <f>DU195*DV195</f>
        <v>0</v>
      </c>
      <c r="DZ195" s="11" t="s">
        <v>45</v>
      </c>
      <c r="EA195" s="10">
        <f>IF(DT195=1, (DZ195-$I195)/365.25*12, IF(DT195=0, $DL195, "ERROR"))</f>
        <v>5.5195071868583163</v>
      </c>
      <c r="EB195" s="16">
        <v>0</v>
      </c>
      <c r="EC195" s="16">
        <v>0</v>
      </c>
      <c r="ED195" s="16">
        <f>1-((1-DQ195)*(1-DT195))</f>
        <v>0</v>
      </c>
      <c r="EE195" s="11" t="s">
        <v>45</v>
      </c>
      <c r="EF195" s="12" t="s">
        <v>45</v>
      </c>
      <c r="EG195" s="16" t="s">
        <v>45</v>
      </c>
      <c r="EH195" s="12" t="s">
        <v>45</v>
      </c>
      <c r="EI195" s="12">
        <v>1</v>
      </c>
      <c r="EJ195" s="16">
        <f>(1-DQ195)*DX195*(1-EI195)</f>
        <v>0</v>
      </c>
      <c r="EK195" s="11">
        <v>41205</v>
      </c>
      <c r="EL195" s="10">
        <f>IF(EI195=1, (EK195-$I195)/365.25*12, IF(EI195=0, $DL195, "ERROR"))</f>
        <v>3.7125256673511293</v>
      </c>
      <c r="EM195" s="12" t="s">
        <v>337</v>
      </c>
      <c r="EN195" s="12"/>
      <c r="EO195" s="12"/>
      <c r="EP195" s="12"/>
      <c r="EQ195" s="12"/>
      <c r="ER195" s="12"/>
      <c r="ES195" s="12"/>
      <c r="ET195" s="12"/>
      <c r="EU195" s="12"/>
      <c r="EV195" s="12"/>
      <c r="EW195" s="12"/>
      <c r="EX195" s="16">
        <v>0</v>
      </c>
      <c r="EY195" s="16"/>
      <c r="EZ195" s="16"/>
      <c r="FA195" s="16"/>
      <c r="FB195" s="12" t="s">
        <v>45</v>
      </c>
      <c r="FC195" s="12">
        <v>1</v>
      </c>
      <c r="FD195" s="12">
        <v>1</v>
      </c>
      <c r="FE195" s="12" t="s">
        <v>374</v>
      </c>
      <c r="FF195" s="18">
        <v>41260</v>
      </c>
      <c r="FG195" s="3">
        <f>IF(FC195=1, FF195, IF(FD195=1, 44348, DJ195))</f>
        <v>41260</v>
      </c>
      <c r="FH195" s="13">
        <f>(FG195-I195)/365.25*12</f>
        <v>5.5195071868583163</v>
      </c>
      <c r="FI195" s="13"/>
      <c r="FJ195" s="14">
        <f>IF(OR(DM195,FC195), 1, 0)</f>
        <v>1</v>
      </c>
      <c r="FK195" s="11">
        <f>IF(DM195=1,IF(FC195=1,MIN(DO195,FF195),DO195),IF(FC195=1,FF195,DJ195))</f>
        <v>41205</v>
      </c>
      <c r="FL195" s="13">
        <f>(FK195-$I195)/365.25*12</f>
        <v>3.7125256673511293</v>
      </c>
      <c r="FM195" s="14">
        <f>IF(OR(ED195,FC195), 1, 0)</f>
        <v>1</v>
      </c>
      <c r="FN195" s="11">
        <f>IF(ED195=1,IF(FC195=1,MIN(EE195,FF195),EE195),IF(FC195=1,FF195,DJ195))</f>
        <v>41260</v>
      </c>
      <c r="FO195" s="13">
        <f>(FN195-$I195)/365.25*12</f>
        <v>5.5195071868583163</v>
      </c>
      <c r="FP195" s="14">
        <f>IF(OR(EI195,FC195), 1, 0)</f>
        <v>1</v>
      </c>
      <c r="FQ195" s="11">
        <f>IF(EI195=1,IF(FC195=1,MIN(EK195,FF195),EK195),IF(FC195=1,FF195,DJ195))</f>
        <v>41205</v>
      </c>
      <c r="FR195" s="13">
        <f>(FQ195-$I195)/365.25*12</f>
        <v>3.7125256673511293</v>
      </c>
      <c r="FS195" s="12"/>
      <c r="FT195" s="12"/>
      <c r="FU195" s="12">
        <v>0</v>
      </c>
      <c r="FV195" s="12">
        <v>0</v>
      </c>
      <c r="FW195" s="12">
        <v>1</v>
      </c>
      <c r="FX195" s="12">
        <v>0</v>
      </c>
      <c r="FY195" s="12" t="s">
        <v>373</v>
      </c>
      <c r="FZ195" s="12"/>
    </row>
    <row r="196" spans="1:182" ht="12.75" hidden="1" customHeight="1">
      <c r="A196" s="1" t="s">
        <v>372</v>
      </c>
      <c r="B196" s="12" t="s">
        <v>371</v>
      </c>
      <c r="C196" s="12">
        <v>43118852</v>
      </c>
      <c r="D196" s="12">
        <v>0</v>
      </c>
      <c r="E196" s="12">
        <v>0</v>
      </c>
      <c r="F196" s="12"/>
      <c r="G196" s="12">
        <v>1</v>
      </c>
      <c r="H196" s="21"/>
      <c r="I196" s="11">
        <v>41092</v>
      </c>
      <c r="J196" s="11">
        <v>41060</v>
      </c>
      <c r="K196" s="11">
        <v>18935</v>
      </c>
      <c r="L196" s="20">
        <f>(DAYS360(K196,I196))/365</f>
        <v>59.832876712328769</v>
      </c>
      <c r="M196" s="12" t="s">
        <v>370</v>
      </c>
      <c r="N196" s="12">
        <v>0</v>
      </c>
      <c r="O196" s="12">
        <v>0</v>
      </c>
      <c r="P196" s="12" t="s">
        <v>357</v>
      </c>
      <c r="Q196" s="12"/>
      <c r="R196" s="12" t="s">
        <v>369</v>
      </c>
      <c r="S196" s="12">
        <v>30</v>
      </c>
      <c r="T196" s="12" t="s">
        <v>368</v>
      </c>
      <c r="U196" s="12">
        <v>0</v>
      </c>
      <c r="V196" s="12">
        <v>0</v>
      </c>
      <c r="W196" s="12">
        <v>1</v>
      </c>
      <c r="X196" s="12" t="s">
        <v>367</v>
      </c>
      <c r="Y196" s="12">
        <v>3</v>
      </c>
      <c r="Z196" s="12">
        <v>1</v>
      </c>
      <c r="AA196" s="12" t="s">
        <v>366</v>
      </c>
      <c r="AB196" s="12" t="s">
        <v>365</v>
      </c>
      <c r="AC196" s="12">
        <v>3</v>
      </c>
      <c r="AD196" s="12" t="s">
        <v>364</v>
      </c>
      <c r="AE196" s="12"/>
      <c r="AF196" s="12">
        <v>0</v>
      </c>
      <c r="AG196" s="12">
        <v>0</v>
      </c>
      <c r="AH196" s="12">
        <v>0</v>
      </c>
      <c r="AI196" s="11">
        <v>41092</v>
      </c>
      <c r="AJ196" s="11">
        <v>41134</v>
      </c>
      <c r="AK196" s="19" t="s">
        <v>363</v>
      </c>
      <c r="AL196" s="19" t="s">
        <v>357</v>
      </c>
      <c r="AM196" s="12">
        <v>0</v>
      </c>
      <c r="AN196" s="12">
        <v>0</v>
      </c>
      <c r="AO196" s="12">
        <v>0</v>
      </c>
      <c r="AP196" s="12">
        <v>0</v>
      </c>
      <c r="AQ196" s="12">
        <v>0</v>
      </c>
      <c r="AR196" s="12">
        <v>0</v>
      </c>
      <c r="AS196" s="12"/>
      <c r="AT196" s="12"/>
      <c r="AU196" s="12">
        <v>4</v>
      </c>
      <c r="AV196" s="12">
        <v>0.5</v>
      </c>
      <c r="AW196" s="12"/>
      <c r="AX196" s="12">
        <v>0</v>
      </c>
      <c r="AY196" s="19" t="s">
        <v>357</v>
      </c>
      <c r="AZ196" s="19" t="s">
        <v>362</v>
      </c>
      <c r="BA196" s="19"/>
      <c r="BB196" s="19"/>
      <c r="BC196" s="19"/>
      <c r="BD196" s="19"/>
      <c r="BE196" s="19"/>
      <c r="BF196" s="12" t="s">
        <v>361</v>
      </c>
      <c r="BG196" s="12" t="s">
        <v>360</v>
      </c>
      <c r="BH196" s="12">
        <v>45</v>
      </c>
      <c r="BI196" s="12">
        <v>5.4</v>
      </c>
      <c r="BJ196" s="12">
        <v>1</v>
      </c>
      <c r="BK196" s="12">
        <f>BH196+BI196</f>
        <v>50.4</v>
      </c>
      <c r="BL196" s="12">
        <v>28</v>
      </c>
      <c r="BM196" s="12">
        <v>1.8</v>
      </c>
      <c r="BN196" s="12" t="s">
        <v>359</v>
      </c>
      <c r="BO196" s="12">
        <v>0</v>
      </c>
      <c r="BP196" s="12">
        <v>1</v>
      </c>
      <c r="BQ196" s="12">
        <v>1</v>
      </c>
      <c r="BR196" s="11">
        <v>41092</v>
      </c>
      <c r="BS196" s="12" t="s">
        <v>91</v>
      </c>
      <c r="BT196" s="12" t="s">
        <v>90</v>
      </c>
      <c r="BU196" s="12">
        <v>2</v>
      </c>
      <c r="BV196" s="12">
        <v>1</v>
      </c>
      <c r="BW196" s="12">
        <v>8.9</v>
      </c>
      <c r="BX196" s="12"/>
      <c r="BY196" s="12"/>
      <c r="BZ196" s="12">
        <v>14.4</v>
      </c>
      <c r="CA196" s="12">
        <v>171</v>
      </c>
      <c r="CB196" s="12">
        <v>1.41</v>
      </c>
      <c r="CC196" s="12"/>
      <c r="CD196" s="12"/>
      <c r="CE196" s="12">
        <v>2</v>
      </c>
      <c r="CF196" s="11">
        <v>41172</v>
      </c>
      <c r="CG196" s="7">
        <f>CF196-AJ196</f>
        <v>38</v>
      </c>
      <c r="CH196" s="12" t="s">
        <v>358</v>
      </c>
      <c r="CI196" s="12" t="s">
        <v>45</v>
      </c>
      <c r="CJ196" s="12" t="s">
        <v>45</v>
      </c>
      <c r="CK196" s="12" t="s">
        <v>357</v>
      </c>
      <c r="CL196" s="12" t="s">
        <v>357</v>
      </c>
      <c r="CM196" s="12" t="s">
        <v>357</v>
      </c>
      <c r="CN196" s="12"/>
      <c r="CO196" s="12" t="s">
        <v>357</v>
      </c>
      <c r="CP196" s="12"/>
      <c r="CQ196" s="12" t="s">
        <v>357</v>
      </c>
      <c r="CR196" s="12" t="s">
        <v>45</v>
      </c>
      <c r="CS196" s="12" t="s">
        <v>357</v>
      </c>
      <c r="CT196" s="12" t="s">
        <v>357</v>
      </c>
      <c r="CU196" s="12" t="s">
        <v>357</v>
      </c>
      <c r="CV196" s="12" t="s">
        <v>357</v>
      </c>
      <c r="CW196" s="12" t="s">
        <v>357</v>
      </c>
      <c r="CX196" s="12" t="s">
        <v>357</v>
      </c>
      <c r="CY196" s="12" t="s">
        <v>357</v>
      </c>
      <c r="CZ196" s="12" t="s">
        <v>357</v>
      </c>
      <c r="DA196" s="12" t="s">
        <v>357</v>
      </c>
      <c r="DB196" s="13" t="s">
        <v>45</v>
      </c>
      <c r="DC196" s="12" t="s">
        <v>357</v>
      </c>
      <c r="DD196" s="12" t="s">
        <v>357</v>
      </c>
      <c r="DE196" s="12" t="s">
        <v>357</v>
      </c>
      <c r="DF196" s="12" t="s">
        <v>357</v>
      </c>
      <c r="DG196" s="12" t="s">
        <v>357</v>
      </c>
      <c r="DH196" s="16">
        <v>0</v>
      </c>
      <c r="DI196" s="16">
        <v>0</v>
      </c>
      <c r="DJ196" s="11">
        <v>41206</v>
      </c>
      <c r="DK196" s="11"/>
      <c r="DL196" s="12">
        <f>(DJ196-I196)/365.25*12</f>
        <v>3.745379876796715</v>
      </c>
      <c r="DM196" s="12">
        <v>1</v>
      </c>
      <c r="DN196" s="12" t="s">
        <v>356</v>
      </c>
      <c r="DO196" s="11">
        <v>41206</v>
      </c>
      <c r="DP196" s="11" t="s">
        <v>45</v>
      </c>
      <c r="DQ196" s="16">
        <v>0</v>
      </c>
      <c r="DR196" s="11" t="s">
        <v>45</v>
      </c>
      <c r="DS196" s="10">
        <f>IF(DQ196=1, (DR196-$I196)/365.25*12, IF(DQ196=0, $DL196, "ERROR"))</f>
        <v>3.745379876796715</v>
      </c>
      <c r="DT196" s="16">
        <v>0</v>
      </c>
      <c r="DU196" s="16">
        <v>0</v>
      </c>
      <c r="DV196" s="16">
        <v>0</v>
      </c>
      <c r="DW196" s="16">
        <f>DU196*(1-DV196)</f>
        <v>0</v>
      </c>
      <c r="DX196" s="16">
        <f>(1-DU196)*DV196</f>
        <v>0</v>
      </c>
      <c r="DY196" s="16">
        <f>DU196*DV196</f>
        <v>0</v>
      </c>
      <c r="DZ196" s="11" t="s">
        <v>45</v>
      </c>
      <c r="EA196" s="10">
        <f>IF(DT196=1, (DZ196-$I196)/365.25*12, IF(DT196=0, $DL196, "ERROR"))</f>
        <v>3.745379876796715</v>
      </c>
      <c r="EB196" s="16">
        <v>0</v>
      </c>
      <c r="EC196" s="16">
        <v>0</v>
      </c>
      <c r="ED196" s="16">
        <f>1-((1-DQ196)*(1-DT196))</f>
        <v>0</v>
      </c>
      <c r="EE196" s="11" t="s">
        <v>45</v>
      </c>
      <c r="EF196" s="11" t="s">
        <v>45</v>
      </c>
      <c r="EG196" s="16" t="s">
        <v>45</v>
      </c>
      <c r="EH196" s="11" t="s">
        <v>45</v>
      </c>
      <c r="EI196" s="12">
        <v>1</v>
      </c>
      <c r="EJ196" s="16">
        <f>(1-DQ196)*DX196*(1-EI196)</f>
        <v>0</v>
      </c>
      <c r="EK196" s="11">
        <v>41206</v>
      </c>
      <c r="EL196" s="10">
        <f>IF(EI196=1, (EK196-$I196)/365.25*12, IF(EI196=0, $DL196, "ERROR"))</f>
        <v>3.745379876796715</v>
      </c>
      <c r="EM196" s="11" t="s">
        <v>355</v>
      </c>
      <c r="EN196" s="11"/>
      <c r="EO196" s="11"/>
      <c r="EP196" s="11"/>
      <c r="EQ196" s="11"/>
      <c r="ER196" s="11"/>
      <c r="ES196" s="11"/>
      <c r="ET196" s="11"/>
      <c r="EU196" s="11"/>
      <c r="EV196" s="11"/>
      <c r="EW196" s="11"/>
      <c r="EX196" s="16">
        <v>0</v>
      </c>
      <c r="EY196" s="16"/>
      <c r="EZ196" s="16"/>
      <c r="FA196" s="16"/>
      <c r="FB196" s="11" t="s">
        <v>45</v>
      </c>
      <c r="FC196" s="12">
        <v>1</v>
      </c>
      <c r="FD196" s="12">
        <v>1</v>
      </c>
      <c r="FE196" s="11"/>
      <c r="FF196" s="18">
        <v>41291</v>
      </c>
      <c r="FG196" s="3">
        <f>IF(FC196=1, FF196, IF(FD196=1, 44348, DJ196))</f>
        <v>41291</v>
      </c>
      <c r="FH196" s="13">
        <f>(FG196-I196)/365.25*12</f>
        <v>6.537987679671458</v>
      </c>
      <c r="FI196" s="13"/>
      <c r="FJ196" s="14">
        <f>IF(OR(DM196,FC196), 1, 0)</f>
        <v>1</v>
      </c>
      <c r="FK196" s="11">
        <f>IF(DM196=1,IF(FC196=1,MIN(DO196,FF196),DO196),IF(FC196=1,FF196,DJ196))</f>
        <v>41206</v>
      </c>
      <c r="FL196" s="13">
        <f>(FK196-$I196)/365.25*12</f>
        <v>3.745379876796715</v>
      </c>
      <c r="FM196" s="14">
        <f>IF(OR(ED196,FC196), 1, 0)</f>
        <v>1</v>
      </c>
      <c r="FN196" s="11">
        <f>IF(ED196=1,IF(FC196=1,MIN(EE196,FF196),EE196),IF(FC196=1,FF196,DJ196))</f>
        <v>41291</v>
      </c>
      <c r="FO196" s="13">
        <f>(FN196-$I196)/365.25*12</f>
        <v>6.537987679671458</v>
      </c>
      <c r="FP196" s="14">
        <f>IF(OR(EI196,FC196), 1, 0)</f>
        <v>1</v>
      </c>
      <c r="FQ196" s="11">
        <f>IF(EI196=1,IF(FC196=1,MIN(EK196,FF196),EK196),IF(FC196=1,FF196,DJ196))</f>
        <v>41206</v>
      </c>
      <c r="FR196" s="13">
        <f>(FQ196-$I196)/365.25*12</f>
        <v>3.745379876796715</v>
      </c>
      <c r="FS196" s="12"/>
      <c r="FT196" s="12"/>
      <c r="FU196" s="12">
        <v>1</v>
      </c>
      <c r="FV196" s="12">
        <v>1</v>
      </c>
      <c r="FW196" s="12">
        <v>0</v>
      </c>
      <c r="FX196" s="12">
        <v>0</v>
      </c>
      <c r="FY196" s="12" t="s">
        <v>354</v>
      </c>
      <c r="FZ196" s="12"/>
    </row>
    <row r="197" spans="1:182" ht="12.75" hidden="1" customHeight="1">
      <c r="A197" s="1" t="s">
        <v>353</v>
      </c>
      <c r="B197" s="15" t="s">
        <v>352</v>
      </c>
      <c r="C197" s="1">
        <v>44808026</v>
      </c>
      <c r="D197" s="1">
        <v>1</v>
      </c>
      <c r="E197" s="1">
        <v>1</v>
      </c>
      <c r="G197" s="12">
        <v>1</v>
      </c>
      <c r="H197" s="1" t="s">
        <v>351</v>
      </c>
      <c r="I197" s="3">
        <v>41529</v>
      </c>
      <c r="J197" s="3">
        <v>41521</v>
      </c>
      <c r="K197" s="3">
        <v>20804</v>
      </c>
      <c r="L197" s="5">
        <f>(DAYS360(K197,I197))/365</f>
        <v>55.964383561643835</v>
      </c>
      <c r="M197" s="1" t="s">
        <v>5</v>
      </c>
      <c r="AI197" s="3">
        <v>41529</v>
      </c>
      <c r="AJ197" s="3">
        <v>41534</v>
      </c>
      <c r="BA197" s="6"/>
      <c r="BB197" s="6"/>
      <c r="BC197" s="6"/>
      <c r="BD197" s="6"/>
      <c r="BE197" s="6"/>
      <c r="BP197" s="1">
        <v>0</v>
      </c>
      <c r="DS197" s="3"/>
      <c r="EI197" s="7"/>
      <c r="EN197" s="1"/>
      <c r="EO197" s="1"/>
      <c r="EP197" s="1"/>
      <c r="EQ197" s="1"/>
      <c r="ER197" s="1"/>
      <c r="ES197" s="1"/>
      <c r="ET197" s="1"/>
      <c r="EU197" s="1"/>
      <c r="EV197" s="1"/>
      <c r="EW197" s="1"/>
      <c r="FC197" s="1">
        <v>1</v>
      </c>
      <c r="FD197" s="1">
        <v>1</v>
      </c>
      <c r="FF197" s="3">
        <v>44210</v>
      </c>
      <c r="FG197" s="3">
        <f>IF(FC197=1, FF197, IF(FD197=1, 44348, DJ197))</f>
        <v>44210</v>
      </c>
      <c r="FH197" s="13">
        <f>(FG197-I197)/365.25*12</f>
        <v>88.082135523613971</v>
      </c>
      <c r="FI197" s="13"/>
      <c r="FJ197" s="14"/>
      <c r="FK197" s="11"/>
      <c r="FL197" s="13"/>
      <c r="FM197" s="14"/>
      <c r="FN197" s="11"/>
      <c r="FO197" s="13"/>
      <c r="FP197" s="14"/>
      <c r="FQ197" s="11"/>
      <c r="FR197" s="13"/>
    </row>
    <row r="198" spans="1:182" ht="12.75" hidden="1" customHeight="1">
      <c r="A198" s="1" t="s">
        <v>350</v>
      </c>
      <c r="B198" s="15" t="s">
        <v>349</v>
      </c>
      <c r="C198" s="1">
        <v>46327903</v>
      </c>
      <c r="D198" s="1">
        <v>1</v>
      </c>
      <c r="E198" s="1">
        <v>1</v>
      </c>
      <c r="G198" s="12">
        <v>1</v>
      </c>
      <c r="H198" s="1" t="s">
        <v>348</v>
      </c>
      <c r="I198" s="3">
        <v>41989</v>
      </c>
      <c r="J198" s="3">
        <v>41970</v>
      </c>
      <c r="K198" s="3">
        <v>19241</v>
      </c>
      <c r="L198" s="5">
        <f>(DAYS360(K198,I198))/365</f>
        <v>61.43013698630137</v>
      </c>
      <c r="M198" s="1" t="s">
        <v>5</v>
      </c>
      <c r="N198" s="1">
        <v>1</v>
      </c>
      <c r="O198" s="1">
        <v>1</v>
      </c>
      <c r="AI198" s="3">
        <v>41989</v>
      </c>
      <c r="AJ198" s="3">
        <v>42025</v>
      </c>
      <c r="BA198" s="6"/>
      <c r="BB198" s="6"/>
      <c r="BC198" s="6"/>
      <c r="BD198" s="6"/>
      <c r="BE198" s="6"/>
      <c r="DS198" s="3"/>
      <c r="EI198" s="7"/>
      <c r="EN198" s="1"/>
      <c r="EO198" s="1"/>
      <c r="EP198" s="1"/>
      <c r="EQ198" s="1"/>
      <c r="ER198" s="1"/>
      <c r="ES198" s="1"/>
      <c r="ET198" s="1"/>
      <c r="EU198" s="1"/>
      <c r="EV198" s="1"/>
      <c r="EW198" s="1"/>
      <c r="FC198" s="1">
        <v>0</v>
      </c>
      <c r="FD198" s="1">
        <v>1</v>
      </c>
      <c r="FF198" s="1" t="s">
        <v>45</v>
      </c>
      <c r="FG198" s="3">
        <f>IF(FC198=1, FF198, IF(FD198=1, 44348, DJ198))</f>
        <v>44348</v>
      </c>
      <c r="FH198" s="13">
        <f>(FG198-I198)/365.25*12</f>
        <v>77.503080082135526</v>
      </c>
      <c r="FI198" s="13"/>
      <c r="FJ198" s="14"/>
      <c r="FK198" s="11"/>
      <c r="FL198" s="13"/>
      <c r="FM198" s="13"/>
      <c r="FN198" s="11"/>
      <c r="FO198" s="13"/>
      <c r="FP198" s="14"/>
      <c r="FQ198" s="11"/>
      <c r="FR198" s="13"/>
    </row>
    <row r="199" spans="1:182" ht="12.75" hidden="1" customHeight="1">
      <c r="A199" s="1" t="s">
        <v>347</v>
      </c>
      <c r="B199" s="15" t="s">
        <v>346</v>
      </c>
      <c r="C199" s="1">
        <v>47775093</v>
      </c>
      <c r="D199" s="1">
        <v>0</v>
      </c>
      <c r="E199" s="1">
        <v>0</v>
      </c>
      <c r="G199" s="12">
        <v>1</v>
      </c>
      <c r="I199" s="3">
        <v>42425</v>
      </c>
      <c r="J199" s="3">
        <v>42403</v>
      </c>
      <c r="K199" s="3">
        <v>15274</v>
      </c>
      <c r="L199" s="5">
        <f>(DAYS360(K199,I199))/365</f>
        <v>73.31506849315069</v>
      </c>
      <c r="M199" s="1" t="s">
        <v>5</v>
      </c>
      <c r="N199" s="1">
        <v>1</v>
      </c>
      <c r="O199" s="1">
        <v>0</v>
      </c>
      <c r="P199" s="1" t="s">
        <v>69</v>
      </c>
      <c r="Q199" s="1">
        <v>1</v>
      </c>
      <c r="R199" s="1" t="s">
        <v>209</v>
      </c>
      <c r="S199" s="1">
        <v>28</v>
      </c>
      <c r="T199" s="1" t="s">
        <v>80</v>
      </c>
      <c r="U199" s="1">
        <v>0</v>
      </c>
      <c r="V199" s="1">
        <v>1</v>
      </c>
      <c r="W199" s="1">
        <v>0</v>
      </c>
      <c r="X199" s="1" t="s">
        <v>345</v>
      </c>
      <c r="Y199" s="1">
        <v>3</v>
      </c>
      <c r="Z199" s="1">
        <v>3</v>
      </c>
      <c r="AA199" s="1" t="s">
        <v>96</v>
      </c>
      <c r="AC199" s="1">
        <v>5</v>
      </c>
      <c r="AD199" s="1" t="s">
        <v>344</v>
      </c>
      <c r="AE199" s="1" t="s">
        <v>343</v>
      </c>
      <c r="AF199" s="1">
        <v>1</v>
      </c>
      <c r="AG199" s="1">
        <v>1</v>
      </c>
      <c r="AH199" s="1">
        <v>1</v>
      </c>
      <c r="AI199" s="3">
        <v>42425</v>
      </c>
      <c r="AJ199" s="3">
        <v>42467</v>
      </c>
      <c r="AK199" s="6" t="s">
        <v>342</v>
      </c>
      <c r="AL199" s="6" t="s">
        <v>341</v>
      </c>
      <c r="AM199" s="1">
        <v>0</v>
      </c>
      <c r="AN199" s="1">
        <v>0</v>
      </c>
      <c r="AO199" s="1">
        <v>0</v>
      </c>
      <c r="AP199" s="1">
        <v>0</v>
      </c>
      <c r="AQ199" s="1">
        <v>1</v>
      </c>
      <c r="AR199" s="1">
        <v>0</v>
      </c>
      <c r="AS199" s="1"/>
      <c r="AT199" s="1"/>
      <c r="AU199" s="1">
        <v>4</v>
      </c>
      <c r="AV199" s="1">
        <v>0.5</v>
      </c>
      <c r="AW199" s="1"/>
      <c r="AX199" s="1">
        <v>1</v>
      </c>
      <c r="AY199" s="1">
        <v>1</v>
      </c>
      <c r="AZ199" s="1">
        <v>0.7</v>
      </c>
      <c r="BF199" s="1" t="s">
        <v>340</v>
      </c>
      <c r="BG199" s="1">
        <v>45</v>
      </c>
      <c r="BH199" s="1">
        <v>45</v>
      </c>
      <c r="BI199" s="1">
        <v>5.4</v>
      </c>
      <c r="BJ199" s="1">
        <v>1</v>
      </c>
      <c r="BK199" s="1">
        <f>BH199+BI199</f>
        <v>50.4</v>
      </c>
      <c r="BL199" s="1">
        <v>28</v>
      </c>
      <c r="BM199" s="1">
        <v>1.8</v>
      </c>
      <c r="BN199" s="1" t="s">
        <v>62</v>
      </c>
      <c r="BO199" s="1">
        <v>1</v>
      </c>
      <c r="BP199" s="1">
        <v>1</v>
      </c>
      <c r="BQ199" s="1">
        <v>1</v>
      </c>
      <c r="BR199" s="3">
        <v>42425</v>
      </c>
      <c r="BS199" s="1" t="s">
        <v>61</v>
      </c>
      <c r="BT199" s="12" t="s">
        <v>60</v>
      </c>
      <c r="BU199" s="1">
        <v>6</v>
      </c>
      <c r="BV199" s="1">
        <v>1</v>
      </c>
      <c r="BW199" s="1">
        <v>11.4</v>
      </c>
      <c r="BZ199" s="1">
        <v>9.1999999999999993</v>
      </c>
      <c r="CA199" s="1">
        <v>348</v>
      </c>
      <c r="CB199" s="1">
        <v>1.76</v>
      </c>
      <c r="CE199" s="1">
        <v>0</v>
      </c>
      <c r="CF199" s="1" t="s">
        <v>45</v>
      </c>
      <c r="CH199" s="1" t="s">
        <v>45</v>
      </c>
      <c r="CI199" s="1" t="s">
        <v>45</v>
      </c>
      <c r="CJ199" s="1" t="s">
        <v>45</v>
      </c>
      <c r="CK199" s="1" t="s">
        <v>45</v>
      </c>
      <c r="CL199" s="1" t="s">
        <v>45</v>
      </c>
      <c r="CM199" s="1" t="s">
        <v>45</v>
      </c>
      <c r="CO199" s="1" t="s">
        <v>45</v>
      </c>
      <c r="CQ199" s="1" t="s">
        <v>45</v>
      </c>
      <c r="CR199" s="1" t="s">
        <v>45</v>
      </c>
      <c r="CS199" s="1" t="s">
        <v>45</v>
      </c>
      <c r="CT199" s="1" t="s">
        <v>45</v>
      </c>
      <c r="CU199" s="1" t="s">
        <v>45</v>
      </c>
      <c r="CV199" s="1" t="s">
        <v>45</v>
      </c>
      <c r="CW199" s="1" t="s">
        <v>45</v>
      </c>
      <c r="CX199" s="1" t="s">
        <v>45</v>
      </c>
      <c r="CY199" s="1" t="s">
        <v>45</v>
      </c>
      <c r="CZ199" s="1" t="s">
        <v>45</v>
      </c>
      <c r="DA199" s="1" t="s">
        <v>45</v>
      </c>
      <c r="DB199" s="2" t="s">
        <v>45</v>
      </c>
      <c r="DC199" s="1" t="s">
        <v>45</v>
      </c>
      <c r="DD199" s="1" t="s">
        <v>45</v>
      </c>
      <c r="DE199" s="1" t="s">
        <v>45</v>
      </c>
      <c r="DF199" s="1" t="s">
        <v>45</v>
      </c>
      <c r="DG199" s="1" t="s">
        <v>45</v>
      </c>
      <c r="DH199" s="7">
        <v>0</v>
      </c>
      <c r="DI199" s="7">
        <v>0</v>
      </c>
      <c r="DJ199" s="3">
        <v>42660</v>
      </c>
      <c r="DK199" s="1" t="s">
        <v>339</v>
      </c>
      <c r="DL199" s="12">
        <f>(DJ199-I199)/365.25*12</f>
        <v>7.7207392197125255</v>
      </c>
      <c r="DM199" s="1">
        <v>1</v>
      </c>
      <c r="DN199" s="1" t="s">
        <v>338</v>
      </c>
      <c r="DO199" s="3">
        <v>42636</v>
      </c>
      <c r="DP199" s="6" t="s">
        <v>106</v>
      </c>
      <c r="DQ199" s="7">
        <v>1</v>
      </c>
      <c r="DR199" s="3">
        <v>42636</v>
      </c>
      <c r="DS199" s="10">
        <f>IF(DQ199=1, (DR199-$I199)/365.25*12, IF(DQ199=0, $DL199, "ERROR"))</f>
        <v>6.9322381930184811</v>
      </c>
      <c r="DT199" s="7">
        <v>1</v>
      </c>
      <c r="DU199" s="7">
        <v>1</v>
      </c>
      <c r="DV199" s="7">
        <v>1</v>
      </c>
      <c r="DW199" s="16">
        <f>DU199*(1-DV199)</f>
        <v>0</v>
      </c>
      <c r="DX199" s="16">
        <f>(1-DU199)*DV199</f>
        <v>0</v>
      </c>
      <c r="DY199" s="16">
        <f>DU199*DV199</f>
        <v>1</v>
      </c>
      <c r="DZ199" s="3">
        <v>42636</v>
      </c>
      <c r="EA199" s="10">
        <f>IF(DT199=1, (DZ199-$I199)/365.25*12, IF(DT199=0, $DL199, "ERROR"))</f>
        <v>6.9322381930184811</v>
      </c>
      <c r="EB199" s="7">
        <v>1</v>
      </c>
      <c r="EC199" s="7">
        <v>0</v>
      </c>
      <c r="ED199" s="16">
        <f>1-((1-DQ199)*(1-DT199))</f>
        <v>1</v>
      </c>
      <c r="EE199" s="11">
        <f>MIN(DR199,DZ199)</f>
        <v>42636</v>
      </c>
      <c r="EF199" s="1" t="s">
        <v>45</v>
      </c>
      <c r="EG199" s="7" t="s">
        <v>45</v>
      </c>
      <c r="EH199" s="1" t="s">
        <v>45</v>
      </c>
      <c r="EI199" s="1">
        <v>1</v>
      </c>
      <c r="EJ199" s="16">
        <f>(1-DQ199)*DX199*(1-EI199)</f>
        <v>0</v>
      </c>
      <c r="EK199" s="3">
        <v>42636</v>
      </c>
      <c r="EL199" s="10">
        <f>IF(EI199=1, (EK199-$I199)/365.25*12, IF(EI199=0, $DL199, "ERROR"))</f>
        <v>6.9322381930184811</v>
      </c>
      <c r="EM199" s="1" t="s">
        <v>337</v>
      </c>
      <c r="EN199" s="1"/>
      <c r="EO199" s="1"/>
      <c r="EP199" s="1"/>
      <c r="EQ199" s="1"/>
      <c r="ER199" s="1"/>
      <c r="ES199" s="1"/>
      <c r="ET199" s="1"/>
      <c r="EU199" s="1"/>
      <c r="EV199" s="1"/>
      <c r="EW199" s="1"/>
      <c r="EX199" s="7">
        <v>1</v>
      </c>
      <c r="FB199" s="1" t="s">
        <v>45</v>
      </c>
      <c r="FC199" s="1">
        <v>1</v>
      </c>
      <c r="FD199" s="1">
        <v>1</v>
      </c>
      <c r="FE199" s="1" t="s">
        <v>336</v>
      </c>
      <c r="FF199" s="3">
        <v>42660</v>
      </c>
      <c r="FG199" s="3">
        <f>IF(FC199=1, FF199, IF(FD199=1, 44348, DJ199))</f>
        <v>42660</v>
      </c>
      <c r="FH199" s="13">
        <f>(FG199-I199)/365.25*12</f>
        <v>7.7207392197125255</v>
      </c>
      <c r="FI199" s="13"/>
      <c r="FJ199" s="14">
        <f>IF(OR(DM199,FC199), 1, 0)</f>
        <v>1</v>
      </c>
      <c r="FK199" s="11">
        <f>IF(DM199=1,IF(FC199=1,MIN(DO199,FF199),DO199),IF(FC199=1,FF199,DJ199))</f>
        <v>42636</v>
      </c>
      <c r="FL199" s="13">
        <f>(FK199-$I199)/365.25*12</f>
        <v>6.9322381930184811</v>
      </c>
      <c r="FM199" s="14">
        <f>IF(OR(ED199,FC199), 1, 0)</f>
        <v>1</v>
      </c>
      <c r="FN199" s="11">
        <f>IF(ED199=1,IF(FC199=1,MIN(EE199,FF199),EE199),IF(FC199=1,FF199,DJ199))</f>
        <v>42636</v>
      </c>
      <c r="FO199" s="13">
        <f>(FN199-$I199)/365.25*12</f>
        <v>6.9322381930184811</v>
      </c>
      <c r="FP199" s="14">
        <f>IF(OR(EI199,FC199), 1, 0)</f>
        <v>1</v>
      </c>
      <c r="FQ199" s="11">
        <f>IF(EI199=1,IF(FC199=1,MIN(EK199,FF199),EK199),IF(FC199=1,FF199,DJ199))</f>
        <v>42636</v>
      </c>
      <c r="FR199" s="13">
        <f>(FQ199-$I199)/365.25*12</f>
        <v>6.9322381930184811</v>
      </c>
      <c r="FS199" s="1" t="s">
        <v>45</v>
      </c>
      <c r="FT199" s="1" t="s">
        <v>335</v>
      </c>
      <c r="FU199" s="1">
        <v>0</v>
      </c>
      <c r="FV199" s="1">
        <v>0</v>
      </c>
      <c r="FW199" s="1">
        <v>1</v>
      </c>
      <c r="FX199" s="1">
        <v>0</v>
      </c>
      <c r="FY199" s="1" t="s">
        <v>334</v>
      </c>
    </row>
    <row r="200" spans="1:182" ht="12.75" hidden="1" customHeight="1">
      <c r="A200" s="1" t="s">
        <v>333</v>
      </c>
      <c r="B200" s="15" t="s">
        <v>332</v>
      </c>
      <c r="C200" s="1">
        <v>46251866</v>
      </c>
      <c r="D200" s="1">
        <v>1</v>
      </c>
      <c r="E200" s="1">
        <v>1</v>
      </c>
      <c r="G200" s="12">
        <v>1</v>
      </c>
      <c r="H200" s="1" t="s">
        <v>331</v>
      </c>
      <c r="I200" s="3">
        <v>41961</v>
      </c>
      <c r="J200" s="3">
        <v>41948</v>
      </c>
      <c r="K200" s="3">
        <v>13961</v>
      </c>
      <c r="L200" s="5">
        <f>(DAYS360(K200,I200))/365</f>
        <v>75.605479452054794</v>
      </c>
      <c r="M200" s="1" t="s">
        <v>5</v>
      </c>
      <c r="N200" s="1">
        <v>1</v>
      </c>
      <c r="O200" s="1">
        <v>0</v>
      </c>
      <c r="P200" s="1" t="s">
        <v>69</v>
      </c>
      <c r="R200" s="1" t="s">
        <v>209</v>
      </c>
      <c r="S200" s="1">
        <v>22</v>
      </c>
      <c r="T200" s="1" t="s">
        <v>98</v>
      </c>
      <c r="U200" s="1">
        <v>1</v>
      </c>
      <c r="V200" s="1">
        <v>1</v>
      </c>
      <c r="W200" s="1">
        <v>0</v>
      </c>
      <c r="X200" s="1" t="s">
        <v>117</v>
      </c>
      <c r="Y200" s="1">
        <v>3</v>
      </c>
      <c r="Z200" s="1">
        <v>1</v>
      </c>
      <c r="AA200" s="1" t="s">
        <v>116</v>
      </c>
      <c r="AC200" s="1">
        <v>3</v>
      </c>
      <c r="AD200" s="1" t="s">
        <v>330</v>
      </c>
      <c r="AE200" s="1" t="s">
        <v>329</v>
      </c>
      <c r="AF200" s="1">
        <v>0</v>
      </c>
      <c r="AH200" s="1">
        <v>0</v>
      </c>
      <c r="AI200" s="3">
        <v>41961</v>
      </c>
      <c r="AJ200" s="3">
        <v>41985</v>
      </c>
      <c r="AK200" s="6" t="s">
        <v>328</v>
      </c>
      <c r="AL200" s="6" t="s">
        <v>327</v>
      </c>
      <c r="AU200" s="6" t="s">
        <v>326</v>
      </c>
      <c r="AV200" s="1">
        <v>0.5</v>
      </c>
      <c r="AW200" s="1"/>
      <c r="AX200" s="6" t="s">
        <v>45</v>
      </c>
      <c r="AY200" s="6" t="s">
        <v>45</v>
      </c>
      <c r="AZ200" s="6" t="s">
        <v>111</v>
      </c>
      <c r="BA200" s="6"/>
      <c r="BB200" s="6"/>
      <c r="BC200" s="6"/>
      <c r="BD200" s="6"/>
      <c r="BE200" s="6"/>
      <c r="BF200" s="1" t="s">
        <v>325</v>
      </c>
      <c r="BP200" s="1">
        <v>0</v>
      </c>
      <c r="DS200" s="3"/>
      <c r="EI200" s="7"/>
      <c r="EN200" s="1"/>
      <c r="EO200" s="1"/>
      <c r="EP200" s="1"/>
      <c r="EQ200" s="1"/>
      <c r="ER200" s="1"/>
      <c r="ES200" s="1"/>
      <c r="ET200" s="1"/>
      <c r="EU200" s="1"/>
      <c r="EV200" s="1"/>
      <c r="EW200" s="1"/>
      <c r="FC200" s="1">
        <v>1</v>
      </c>
      <c r="FD200" s="1">
        <v>1</v>
      </c>
      <c r="FF200" s="3">
        <v>42270</v>
      </c>
      <c r="FG200" s="3">
        <f>IF(FC200=1, FF200, IF(FD200=1, 44348, DJ200))</f>
        <v>42270</v>
      </c>
      <c r="FH200" s="13">
        <f>(FG200-I200)/365.25*12</f>
        <v>10.151950718685832</v>
      </c>
      <c r="FI200" s="13"/>
      <c r="FJ200" s="14"/>
      <c r="FK200" s="11"/>
      <c r="FL200" s="13"/>
      <c r="FM200" s="14"/>
      <c r="FN200" s="11"/>
      <c r="FO200" s="13"/>
      <c r="FP200" s="14"/>
      <c r="FQ200" s="11"/>
      <c r="FR200" s="13"/>
      <c r="FY200" s="1" t="s">
        <v>324</v>
      </c>
    </row>
    <row r="201" spans="1:182" ht="12.75" hidden="1" customHeight="1">
      <c r="A201" s="1" t="s">
        <v>323</v>
      </c>
      <c r="B201" s="15" t="s">
        <v>322</v>
      </c>
      <c r="C201" s="1">
        <v>50057979</v>
      </c>
      <c r="D201" s="1">
        <v>1</v>
      </c>
      <c r="E201" s="1">
        <v>1</v>
      </c>
      <c r="G201" s="12">
        <v>1</v>
      </c>
      <c r="H201" s="1" t="s">
        <v>321</v>
      </c>
      <c r="I201" s="3">
        <v>43054</v>
      </c>
      <c r="J201" s="3">
        <v>43032</v>
      </c>
      <c r="K201" s="3">
        <v>19639</v>
      </c>
      <c r="L201" s="5">
        <f>(DAYS360(K201,I201))/365</f>
        <v>63.227397260273975</v>
      </c>
      <c r="M201" s="9" t="s">
        <v>5</v>
      </c>
      <c r="N201" s="1">
        <v>1</v>
      </c>
      <c r="O201" s="1">
        <v>0</v>
      </c>
      <c r="P201" s="1" t="s">
        <v>81</v>
      </c>
      <c r="R201" s="1" t="s">
        <v>320</v>
      </c>
      <c r="AI201" s="3">
        <v>43054</v>
      </c>
      <c r="AJ201" s="3">
        <v>43103</v>
      </c>
      <c r="BA201" s="6"/>
      <c r="BB201" s="6"/>
      <c r="BC201" s="6"/>
      <c r="BD201" s="6"/>
      <c r="BE201" s="6"/>
      <c r="BP201" s="1">
        <v>1</v>
      </c>
      <c r="DS201" s="3"/>
      <c r="EI201" s="7"/>
      <c r="EN201" s="1"/>
      <c r="EO201" s="1"/>
      <c r="EP201" s="1"/>
      <c r="EQ201" s="1"/>
      <c r="ER201" s="1"/>
      <c r="ES201" s="1"/>
      <c r="ET201" s="1"/>
      <c r="EU201" s="1"/>
      <c r="EV201" s="1"/>
      <c r="EW201" s="1"/>
      <c r="FC201" s="1">
        <v>1</v>
      </c>
      <c r="FD201" s="1">
        <v>1</v>
      </c>
      <c r="FF201" s="3">
        <v>43416</v>
      </c>
      <c r="FG201" s="3">
        <f>IF(FC201=1, FF201, IF(FD201=1, 44348, DJ201))</f>
        <v>43416</v>
      </c>
      <c r="FH201" s="13">
        <f>(FG201-I201)/365.25*12</f>
        <v>11.893223819301848</v>
      </c>
      <c r="FI201" s="13"/>
      <c r="FJ201" s="14"/>
      <c r="FK201" s="11"/>
      <c r="FL201" s="13"/>
      <c r="FM201" s="14"/>
      <c r="FN201" s="11"/>
      <c r="FO201" s="13"/>
      <c r="FP201" s="14"/>
      <c r="FQ201" s="11"/>
      <c r="FR201" s="13"/>
    </row>
    <row r="202" spans="1:182" ht="12.75" hidden="1" customHeight="1">
      <c r="A202" s="1" t="s">
        <v>319</v>
      </c>
      <c r="B202" s="15" t="s">
        <v>318</v>
      </c>
      <c r="C202" s="1">
        <v>50117958</v>
      </c>
      <c r="D202" s="1">
        <v>1</v>
      </c>
      <c r="E202" s="1">
        <v>1</v>
      </c>
      <c r="G202" s="12">
        <v>1</v>
      </c>
      <c r="H202" s="1" t="s">
        <v>317</v>
      </c>
      <c r="I202" s="3">
        <v>43194</v>
      </c>
      <c r="J202" s="3">
        <v>43046</v>
      </c>
      <c r="K202" s="3">
        <v>17046</v>
      </c>
      <c r="L202" s="5">
        <f>(DAYS360(K202,I202))/365</f>
        <v>70.610958904109594</v>
      </c>
      <c r="M202" s="1" t="s">
        <v>5</v>
      </c>
      <c r="N202" s="1">
        <v>1</v>
      </c>
      <c r="O202" s="1">
        <v>0</v>
      </c>
      <c r="P202" s="1" t="s">
        <v>69</v>
      </c>
      <c r="R202" s="1" t="s">
        <v>209</v>
      </c>
      <c r="AI202" s="3">
        <v>43194</v>
      </c>
      <c r="AJ202" s="3">
        <v>43201</v>
      </c>
      <c r="BA202" s="6"/>
      <c r="BB202" s="6"/>
      <c r="BC202" s="6"/>
      <c r="BD202" s="6"/>
      <c r="BE202" s="6"/>
      <c r="BP202" s="1">
        <v>0</v>
      </c>
      <c r="DS202" s="3"/>
      <c r="EI202" s="7"/>
      <c r="EN202" s="1"/>
      <c r="EO202" s="1"/>
      <c r="EP202" s="1"/>
      <c r="EQ202" s="1"/>
      <c r="ER202" s="1"/>
      <c r="ES202" s="1"/>
      <c r="ET202" s="1"/>
      <c r="EU202" s="1"/>
      <c r="EV202" s="1"/>
      <c r="EW202" s="1"/>
      <c r="FC202" s="1">
        <v>1</v>
      </c>
      <c r="FD202" s="1">
        <v>1</v>
      </c>
      <c r="FF202" s="3">
        <v>43451</v>
      </c>
      <c r="FG202" s="3">
        <f>IF(FC202=1, FF202, IF(FD202=1, 44348, DJ202))</f>
        <v>43451</v>
      </c>
      <c r="FH202" s="13">
        <f>(FG202-I202)/365.25*12</f>
        <v>8.4435318275154003</v>
      </c>
      <c r="FI202" s="13"/>
      <c r="FJ202" s="14"/>
      <c r="FK202" s="11"/>
      <c r="FL202" s="13"/>
      <c r="FM202" s="14"/>
      <c r="FN202" s="11"/>
      <c r="FO202" s="13"/>
      <c r="FP202" s="14"/>
      <c r="FQ202" s="11"/>
      <c r="FR202" s="13"/>
    </row>
    <row r="203" spans="1:182" ht="12.75" hidden="1" customHeight="1">
      <c r="A203" s="1" t="s">
        <v>316</v>
      </c>
      <c r="B203" s="15" t="s">
        <v>315</v>
      </c>
      <c r="C203" s="1">
        <v>50063501</v>
      </c>
      <c r="D203" s="1">
        <v>0</v>
      </c>
      <c r="E203" s="1">
        <v>0</v>
      </c>
      <c r="G203" s="12">
        <v>1</v>
      </c>
      <c r="I203" s="3">
        <v>43045</v>
      </c>
      <c r="J203" s="3">
        <v>43034</v>
      </c>
      <c r="K203" s="3">
        <v>20369</v>
      </c>
      <c r="L203" s="5">
        <f>(DAYS360(K203,I203))/365</f>
        <v>61.230136986301368</v>
      </c>
      <c r="M203" s="1" t="s">
        <v>5</v>
      </c>
      <c r="N203" s="1">
        <v>1</v>
      </c>
      <c r="O203" s="1">
        <v>0</v>
      </c>
      <c r="P203" s="1" t="s">
        <v>69</v>
      </c>
      <c r="Q203" s="1">
        <v>1</v>
      </c>
      <c r="R203" s="1" t="s">
        <v>209</v>
      </c>
      <c r="S203" s="1">
        <v>28</v>
      </c>
      <c r="T203" s="1" t="s">
        <v>80</v>
      </c>
      <c r="U203" s="1">
        <v>0</v>
      </c>
      <c r="V203" s="1">
        <v>1</v>
      </c>
      <c r="W203" s="1">
        <v>0</v>
      </c>
      <c r="X203" s="1" t="s">
        <v>314</v>
      </c>
      <c r="Y203" s="1">
        <v>3</v>
      </c>
      <c r="Z203" s="1">
        <v>3</v>
      </c>
      <c r="AA203" s="1" t="s">
        <v>96</v>
      </c>
      <c r="AC203" s="1">
        <v>5</v>
      </c>
      <c r="AD203" s="1" t="s">
        <v>313</v>
      </c>
      <c r="AE203" s="1" t="s">
        <v>114</v>
      </c>
      <c r="AF203" s="1">
        <v>1</v>
      </c>
      <c r="AG203" s="1">
        <v>1</v>
      </c>
      <c r="AH203" s="1">
        <v>1</v>
      </c>
      <c r="AI203" s="3">
        <v>43045</v>
      </c>
      <c r="AJ203" s="3">
        <v>43080</v>
      </c>
      <c r="AK203" s="6" t="s">
        <v>312</v>
      </c>
      <c r="AL203" s="6" t="s">
        <v>311</v>
      </c>
      <c r="AM203" s="1">
        <v>1</v>
      </c>
      <c r="AN203" s="1">
        <v>1</v>
      </c>
      <c r="AO203" s="1">
        <v>0</v>
      </c>
      <c r="AP203" s="1">
        <v>0</v>
      </c>
      <c r="AQ203" s="1">
        <v>0</v>
      </c>
      <c r="AR203" s="1">
        <v>0</v>
      </c>
      <c r="AS203" s="1"/>
      <c r="AT203" s="1"/>
      <c r="AU203" s="1">
        <v>2</v>
      </c>
      <c r="AV203" s="1">
        <v>0.5</v>
      </c>
      <c r="AW203" s="1"/>
      <c r="AX203" s="6" t="s">
        <v>45</v>
      </c>
      <c r="AY203" s="6" t="s">
        <v>45</v>
      </c>
      <c r="AZ203" s="1">
        <v>1</v>
      </c>
      <c r="BF203" s="1" t="s">
        <v>310</v>
      </c>
      <c r="BG203" s="1" t="s">
        <v>309</v>
      </c>
      <c r="BH203" s="1">
        <v>45</v>
      </c>
      <c r="BI203" s="1">
        <v>0</v>
      </c>
      <c r="BJ203" s="1">
        <v>0</v>
      </c>
      <c r="BK203" s="1">
        <f>BH203+BI203</f>
        <v>45</v>
      </c>
      <c r="BL203" s="1">
        <v>25</v>
      </c>
      <c r="BM203" s="1">
        <v>1.8</v>
      </c>
      <c r="BN203" s="1" t="s">
        <v>62</v>
      </c>
      <c r="BO203" s="1">
        <v>1</v>
      </c>
      <c r="BP203" s="1">
        <v>1</v>
      </c>
      <c r="BQ203" s="1">
        <v>1</v>
      </c>
      <c r="BR203" s="3">
        <v>43045</v>
      </c>
      <c r="BS203" s="1" t="s">
        <v>61</v>
      </c>
      <c r="BT203" s="12" t="s">
        <v>60</v>
      </c>
      <c r="BU203" s="1">
        <v>5</v>
      </c>
      <c r="BV203" s="1">
        <v>1</v>
      </c>
      <c r="BW203" s="1">
        <v>7.03</v>
      </c>
      <c r="BZ203" s="1">
        <v>13.3</v>
      </c>
      <c r="CA203" s="1">
        <v>333</v>
      </c>
      <c r="CB203" s="1">
        <v>1.64</v>
      </c>
      <c r="CE203" s="1">
        <v>0</v>
      </c>
      <c r="CF203" s="1" t="s">
        <v>45</v>
      </c>
      <c r="CH203" s="1" t="s">
        <v>45</v>
      </c>
      <c r="CI203" s="1" t="s">
        <v>45</v>
      </c>
      <c r="CJ203" s="1" t="s">
        <v>45</v>
      </c>
      <c r="CL203" s="1" t="s">
        <v>45</v>
      </c>
      <c r="CM203" s="1" t="s">
        <v>45</v>
      </c>
      <c r="CO203" s="1" t="s">
        <v>45</v>
      </c>
      <c r="CQ203" s="1" t="s">
        <v>45</v>
      </c>
      <c r="CR203" s="1" t="s">
        <v>45</v>
      </c>
      <c r="CS203" s="1" t="s">
        <v>45</v>
      </c>
      <c r="CT203" s="1" t="s">
        <v>45</v>
      </c>
      <c r="CU203" s="1" t="s">
        <v>45</v>
      </c>
      <c r="CV203" s="1" t="s">
        <v>45</v>
      </c>
      <c r="CW203" s="1" t="s">
        <v>45</v>
      </c>
      <c r="CX203" s="1" t="s">
        <v>45</v>
      </c>
      <c r="CY203" s="1" t="s">
        <v>45</v>
      </c>
      <c r="CZ203" s="1" t="s">
        <v>45</v>
      </c>
      <c r="DA203" s="1" t="s">
        <v>45</v>
      </c>
      <c r="DB203" s="2" t="s">
        <v>45</v>
      </c>
      <c r="DC203" s="1" t="s">
        <v>45</v>
      </c>
      <c r="DD203" s="1" t="s">
        <v>45</v>
      </c>
      <c r="DE203" s="1" t="s">
        <v>45</v>
      </c>
      <c r="DF203" s="1" t="s">
        <v>45</v>
      </c>
      <c r="DG203" s="1" t="s">
        <v>45</v>
      </c>
      <c r="DH203" s="7">
        <v>0</v>
      </c>
      <c r="DI203" s="7">
        <v>0</v>
      </c>
      <c r="DJ203" s="3">
        <v>43082</v>
      </c>
      <c r="DK203" s="1" t="s">
        <v>308</v>
      </c>
      <c r="DL203" s="12">
        <f>(DJ203-I203)/365.25*12</f>
        <v>1.215605749486653</v>
      </c>
      <c r="DM203" s="1">
        <v>0</v>
      </c>
      <c r="DN203" s="1" t="s">
        <v>45</v>
      </c>
      <c r="DO203" s="1" t="s">
        <v>45</v>
      </c>
      <c r="DP203" s="6" t="s">
        <v>45</v>
      </c>
      <c r="DQ203" s="7">
        <v>0</v>
      </c>
      <c r="DR203" s="3" t="s">
        <v>45</v>
      </c>
      <c r="DS203" s="10">
        <f>IF(DQ203=1, (DR203-$I203)/365.25*12, IF(DQ203=0, $DL203, "ERROR"))</f>
        <v>1.215605749486653</v>
      </c>
      <c r="DT203" s="7">
        <v>0</v>
      </c>
      <c r="DU203" s="7">
        <v>0</v>
      </c>
      <c r="DV203" s="7">
        <v>0</v>
      </c>
      <c r="DW203" s="16">
        <f>DU203*(1-DV203)</f>
        <v>0</v>
      </c>
      <c r="DX203" s="16">
        <f>(1-DU203)*DV203</f>
        <v>0</v>
      </c>
      <c r="DY203" s="16">
        <f>DU203*DV203</f>
        <v>0</v>
      </c>
      <c r="DZ203" s="3" t="s">
        <v>45</v>
      </c>
      <c r="EA203" s="10">
        <f>IF(DT203=1, (DZ203-$I203)/365.25*12, IF(DT203=0, $DL203, "ERROR"))</f>
        <v>1.215605749486653</v>
      </c>
      <c r="EB203" s="7">
        <v>0</v>
      </c>
      <c r="EC203" s="7">
        <v>0</v>
      </c>
      <c r="ED203" s="16">
        <f>1-((1-DQ203)*(1-DT203))</f>
        <v>0</v>
      </c>
      <c r="EE203" s="11" t="s">
        <v>45</v>
      </c>
      <c r="EF203" s="1" t="s">
        <v>45</v>
      </c>
      <c r="EG203" s="7" t="s">
        <v>45</v>
      </c>
      <c r="EH203" s="1" t="s">
        <v>45</v>
      </c>
      <c r="EI203" s="1">
        <v>0</v>
      </c>
      <c r="EJ203" s="16">
        <f>(1-DQ203)*DX203*(1-EI203)</f>
        <v>0</v>
      </c>
      <c r="EK203" s="1" t="s">
        <v>45</v>
      </c>
      <c r="EL203" s="10">
        <f>IF(EI203=1, (EK203-$I203)/365.25*12, IF(EI203=0, $DL203, "ERROR"))</f>
        <v>1.215605749486653</v>
      </c>
      <c r="EM203" s="1" t="s">
        <v>45</v>
      </c>
      <c r="EN203" s="1"/>
      <c r="EO203" s="1"/>
      <c r="EP203" s="1"/>
      <c r="EQ203" s="1"/>
      <c r="ER203" s="1"/>
      <c r="ES203" s="1"/>
      <c r="ET203" s="1"/>
      <c r="EU203" s="1"/>
      <c r="EV203" s="1"/>
      <c r="EW203" s="1"/>
      <c r="EX203" s="7">
        <v>0</v>
      </c>
      <c r="FB203" s="1" t="s">
        <v>45</v>
      </c>
      <c r="FC203" s="1">
        <v>1</v>
      </c>
      <c r="FD203" s="1">
        <v>1</v>
      </c>
      <c r="FF203" s="3">
        <v>43091</v>
      </c>
      <c r="FG203" s="3">
        <f>IF(FC203=1, FF203, IF(FD203=1, 44348, DJ203))</f>
        <v>43091</v>
      </c>
      <c r="FH203" s="13">
        <f>(FG203-I203)/365.25*12</f>
        <v>1.5112936344969197</v>
      </c>
      <c r="FI203" s="13"/>
      <c r="FJ203" s="14">
        <f>IF(OR(DM203,FC203), 1, 0)</f>
        <v>1</v>
      </c>
      <c r="FK203" s="11">
        <f>IF(DM203=1,IF(FC203=1,MIN(DO203,FF203),DO203),IF(FC203=1,FF203,DJ203))</f>
        <v>43091</v>
      </c>
      <c r="FL203" s="13">
        <f>(FK203-$I203)/365.25*12</f>
        <v>1.5112936344969197</v>
      </c>
      <c r="FM203" s="14">
        <f>IF(OR(ED203,FC203), 1, 0)</f>
        <v>1</v>
      </c>
      <c r="FN203" s="11">
        <f>IF(ED203=1,IF(FC203=1,MIN(EE203,FF203),EE203),IF(FC203=1,FF203,DJ203))</f>
        <v>43091</v>
      </c>
      <c r="FO203" s="13">
        <f>(FN203-$I203)/365.25*12</f>
        <v>1.5112936344969197</v>
      </c>
      <c r="FP203" s="14">
        <f>IF(OR(EI203,FC203), 1, 0)</f>
        <v>1</v>
      </c>
      <c r="FQ203" s="11">
        <f>IF(EI203=1,IF(FC203=1,MIN(EK203,FF203),EK203),IF(FC203=1,FF203,DJ203))</f>
        <v>43091</v>
      </c>
      <c r="FR203" s="13">
        <f>(FQ203-$I203)/365.25*12</f>
        <v>1.5112936344969197</v>
      </c>
      <c r="FS203" s="1" t="s">
        <v>45</v>
      </c>
      <c r="FT203" s="1" t="s">
        <v>45</v>
      </c>
      <c r="FU203" s="1">
        <v>0</v>
      </c>
      <c r="FV203" s="1">
        <v>0</v>
      </c>
      <c r="FW203" s="1">
        <v>0</v>
      </c>
      <c r="FX203" s="1">
        <v>0</v>
      </c>
    </row>
    <row r="204" spans="1:182" ht="12.75" hidden="1" customHeight="1">
      <c r="A204" s="1" t="s">
        <v>307</v>
      </c>
      <c r="B204" s="15" t="s">
        <v>306</v>
      </c>
      <c r="C204" s="1">
        <v>34425215</v>
      </c>
      <c r="D204" s="1">
        <v>1</v>
      </c>
      <c r="E204" s="1">
        <v>1</v>
      </c>
      <c r="G204" s="12">
        <v>1</v>
      </c>
      <c r="H204" s="1" t="s">
        <v>305</v>
      </c>
      <c r="I204" s="3">
        <v>43166</v>
      </c>
      <c r="J204" s="3">
        <v>43139</v>
      </c>
      <c r="K204" s="3">
        <v>18620</v>
      </c>
      <c r="L204" s="5">
        <f>(DAYS360(K204,I204))/365</f>
        <v>66.284931506849318</v>
      </c>
      <c r="M204" s="1" t="s">
        <v>5</v>
      </c>
      <c r="N204" s="1">
        <v>1</v>
      </c>
      <c r="O204" s="1">
        <v>0</v>
      </c>
      <c r="P204" s="1" t="s">
        <v>161</v>
      </c>
      <c r="R204" s="1" t="s">
        <v>209</v>
      </c>
      <c r="S204" s="1">
        <v>30</v>
      </c>
      <c r="T204" s="1" t="s">
        <v>150</v>
      </c>
      <c r="U204" s="1">
        <v>0</v>
      </c>
      <c r="V204" s="1">
        <v>1</v>
      </c>
      <c r="W204" s="1">
        <v>1</v>
      </c>
      <c r="X204" s="1" t="s">
        <v>187</v>
      </c>
      <c r="Y204" s="1">
        <v>3</v>
      </c>
      <c r="Z204" s="1">
        <v>2</v>
      </c>
      <c r="AA204" s="1" t="s">
        <v>116</v>
      </c>
      <c r="AC204" s="1">
        <v>3</v>
      </c>
      <c r="AD204" s="1" t="s">
        <v>304</v>
      </c>
      <c r="AE204" s="1" t="s">
        <v>114</v>
      </c>
      <c r="AF204" s="1">
        <v>0</v>
      </c>
      <c r="AH204" s="1">
        <v>0</v>
      </c>
      <c r="AI204" s="3">
        <v>43166</v>
      </c>
      <c r="AJ204" s="3">
        <v>43196</v>
      </c>
      <c r="BA204" s="6"/>
      <c r="BB204" s="6"/>
      <c r="BC204" s="6"/>
      <c r="BD204" s="6"/>
      <c r="BE204" s="6"/>
      <c r="BP204" s="1">
        <v>0</v>
      </c>
      <c r="DS204" s="3"/>
      <c r="EI204" s="7"/>
      <c r="EN204" s="1"/>
      <c r="EO204" s="1"/>
      <c r="EP204" s="1"/>
      <c r="EQ204" s="1"/>
      <c r="ER204" s="1"/>
      <c r="ES204" s="1"/>
      <c r="ET204" s="1"/>
      <c r="EU204" s="1"/>
      <c r="EV204" s="1"/>
      <c r="EW204" s="1"/>
      <c r="FC204" s="1">
        <v>0</v>
      </c>
      <c r="FD204" s="1">
        <v>1</v>
      </c>
      <c r="FF204" s="1" t="s">
        <v>45</v>
      </c>
      <c r="FG204" s="3">
        <f>IF(FC204=1, FF204, IF(FD204=1, 44348, DJ204))</f>
        <v>44348</v>
      </c>
      <c r="FH204" s="13">
        <f>(FG204-I204)/365.25*12</f>
        <v>38.833675564681727</v>
      </c>
      <c r="FI204" s="13"/>
      <c r="FJ204" s="14"/>
      <c r="FK204" s="11"/>
      <c r="FL204" s="13"/>
      <c r="FM204" s="13"/>
      <c r="FN204" s="11"/>
      <c r="FO204" s="13"/>
      <c r="FP204" s="14"/>
      <c r="FQ204" s="11"/>
      <c r="FR204" s="13"/>
    </row>
    <row r="205" spans="1:182" ht="12.75" hidden="1" customHeight="1">
      <c r="A205" s="1" t="s">
        <v>303</v>
      </c>
      <c r="B205" s="15" t="s">
        <v>302</v>
      </c>
      <c r="C205" s="1">
        <v>44758804</v>
      </c>
      <c r="D205" s="1">
        <v>1</v>
      </c>
      <c r="E205" s="1">
        <v>1</v>
      </c>
      <c r="G205" s="12">
        <v>1</v>
      </c>
      <c r="H205" s="1" t="s">
        <v>301</v>
      </c>
      <c r="I205" s="3">
        <v>41520</v>
      </c>
      <c r="J205" s="3">
        <v>41502</v>
      </c>
      <c r="K205" s="3">
        <v>20583</v>
      </c>
      <c r="L205" s="5">
        <f>(DAYS360(K205,I205))/365</f>
        <v>56.534246575342465</v>
      </c>
      <c r="M205" s="1" t="s">
        <v>5</v>
      </c>
      <c r="N205" s="1">
        <v>1</v>
      </c>
      <c r="O205" s="1">
        <v>0</v>
      </c>
      <c r="P205" s="1" t="s">
        <v>69</v>
      </c>
      <c r="R205" s="1" t="s">
        <v>209</v>
      </c>
      <c r="S205" s="1" t="s">
        <v>300</v>
      </c>
      <c r="AI205" s="3">
        <v>41520</v>
      </c>
      <c r="AJ205" s="3">
        <v>41557</v>
      </c>
      <c r="BA205" s="6"/>
      <c r="BB205" s="6"/>
      <c r="BC205" s="6"/>
      <c r="BD205" s="6"/>
      <c r="BE205" s="6"/>
      <c r="BP205" s="1">
        <v>0</v>
      </c>
      <c r="DS205" s="3"/>
      <c r="EI205" s="7"/>
      <c r="EN205" s="1"/>
      <c r="EO205" s="1"/>
      <c r="EP205" s="1"/>
      <c r="EQ205" s="1"/>
      <c r="ER205" s="1"/>
      <c r="ES205" s="1"/>
      <c r="ET205" s="1"/>
      <c r="EU205" s="1"/>
      <c r="EV205" s="1"/>
      <c r="EW205" s="1"/>
      <c r="FC205" s="1">
        <v>1</v>
      </c>
      <c r="FD205" s="1">
        <v>1</v>
      </c>
      <c r="FF205" s="3">
        <v>41639</v>
      </c>
      <c r="FG205" s="3">
        <f>IF(FC205=1, FF205, IF(FD205=1, 44348, DJ205))</f>
        <v>41639</v>
      </c>
      <c r="FH205" s="13">
        <f>(FG205-I205)/365.25*12</f>
        <v>3.9096509240246409</v>
      </c>
      <c r="FI205" s="13"/>
      <c r="FJ205" s="14"/>
      <c r="FK205" s="11"/>
      <c r="FL205" s="13"/>
      <c r="FM205" s="14"/>
      <c r="FN205" s="11"/>
      <c r="FO205" s="13"/>
      <c r="FP205" s="14"/>
      <c r="FQ205" s="11"/>
      <c r="FR205" s="13"/>
    </row>
    <row r="206" spans="1:182" ht="12.75" hidden="1" customHeight="1">
      <c r="A206" s="1" t="s">
        <v>299</v>
      </c>
      <c r="B206" s="15" t="s">
        <v>298</v>
      </c>
      <c r="C206" s="1">
        <v>46412863</v>
      </c>
      <c r="D206" s="1">
        <v>0</v>
      </c>
      <c r="E206" s="1">
        <v>0</v>
      </c>
      <c r="G206" s="12">
        <v>1</v>
      </c>
      <c r="I206" s="3">
        <v>42040</v>
      </c>
      <c r="J206" s="3">
        <v>41990</v>
      </c>
      <c r="K206" s="3">
        <v>21321</v>
      </c>
      <c r="L206" s="5">
        <f>(DAYS360(K206,I206))/365</f>
        <v>55.942465753424656</v>
      </c>
      <c r="M206" s="1" t="s">
        <v>5</v>
      </c>
      <c r="N206" s="1">
        <v>1</v>
      </c>
      <c r="O206" s="1">
        <v>0</v>
      </c>
      <c r="P206" s="1" t="s">
        <v>69</v>
      </c>
      <c r="Q206" s="1">
        <v>1</v>
      </c>
      <c r="R206" s="1" t="s">
        <v>209</v>
      </c>
      <c r="S206" s="1" t="s">
        <v>297</v>
      </c>
      <c r="T206" s="1" t="s">
        <v>150</v>
      </c>
      <c r="U206" s="1">
        <v>0</v>
      </c>
      <c r="V206" s="1">
        <v>1</v>
      </c>
      <c r="W206" s="1">
        <v>1</v>
      </c>
      <c r="X206" s="1" t="s">
        <v>296</v>
      </c>
      <c r="Y206" s="1">
        <v>2</v>
      </c>
      <c r="Z206" s="1">
        <v>1</v>
      </c>
      <c r="AA206" s="1" t="s">
        <v>65</v>
      </c>
      <c r="AC206" s="1">
        <v>2</v>
      </c>
      <c r="AD206" s="1" t="s">
        <v>295</v>
      </c>
      <c r="AE206" s="1" t="s">
        <v>125</v>
      </c>
      <c r="AF206" s="1">
        <v>0</v>
      </c>
      <c r="AG206" s="1">
        <v>0</v>
      </c>
      <c r="AH206" s="1">
        <v>0</v>
      </c>
      <c r="AI206" s="3">
        <v>42040</v>
      </c>
      <c r="AJ206" s="3">
        <v>42079</v>
      </c>
      <c r="AK206" s="6" t="s">
        <v>294</v>
      </c>
      <c r="AL206" s="6" t="s">
        <v>250</v>
      </c>
      <c r="AM206" s="1">
        <v>0</v>
      </c>
      <c r="AN206" s="1">
        <v>0</v>
      </c>
      <c r="AO206" s="1">
        <v>0</v>
      </c>
      <c r="AP206" s="1">
        <v>0</v>
      </c>
      <c r="AQ206" s="1">
        <v>0</v>
      </c>
      <c r="AR206" s="1">
        <v>0</v>
      </c>
      <c r="AS206" s="1"/>
      <c r="AT206" s="1"/>
      <c r="AU206" s="6" t="s">
        <v>293</v>
      </c>
      <c r="AV206" s="1">
        <v>0.5</v>
      </c>
      <c r="AW206" s="1"/>
      <c r="AX206" s="6" t="s">
        <v>45</v>
      </c>
      <c r="AY206" s="6" t="s">
        <v>45</v>
      </c>
      <c r="AZ206" s="1">
        <v>0.7</v>
      </c>
      <c r="BF206" s="1" t="s">
        <v>292</v>
      </c>
      <c r="BG206" s="1">
        <v>45</v>
      </c>
      <c r="BH206" s="1">
        <v>45</v>
      </c>
      <c r="BI206" s="1">
        <v>0</v>
      </c>
      <c r="BJ206" s="1">
        <v>0</v>
      </c>
      <c r="BK206" s="1">
        <f>BH206+BI206</f>
        <v>45</v>
      </c>
      <c r="BL206" s="1">
        <v>25</v>
      </c>
      <c r="BM206" s="1">
        <v>1.8</v>
      </c>
      <c r="BN206" s="1" t="s">
        <v>110</v>
      </c>
      <c r="BO206" s="1">
        <v>0</v>
      </c>
      <c r="BP206" s="1">
        <v>1</v>
      </c>
      <c r="BQ206" s="1">
        <v>1</v>
      </c>
      <c r="BR206" s="3">
        <v>42040</v>
      </c>
      <c r="BS206" s="1" t="s">
        <v>61</v>
      </c>
      <c r="BT206" s="12" t="s">
        <v>60</v>
      </c>
      <c r="BU206" s="1">
        <v>5</v>
      </c>
      <c r="BV206" s="1">
        <v>1</v>
      </c>
      <c r="BW206" s="1">
        <v>7.25</v>
      </c>
      <c r="BZ206" s="1">
        <v>12.3</v>
      </c>
      <c r="CA206" s="1">
        <v>255</v>
      </c>
      <c r="CB206" s="1">
        <v>1.71</v>
      </c>
      <c r="CE206" s="1">
        <v>0</v>
      </c>
      <c r="CF206" s="1" t="s">
        <v>45</v>
      </c>
      <c r="CH206" s="1" t="s">
        <v>45</v>
      </c>
      <c r="CI206" s="1" t="s">
        <v>45</v>
      </c>
      <c r="CJ206" s="1" t="s">
        <v>45</v>
      </c>
      <c r="CK206" s="1" t="s">
        <v>45</v>
      </c>
      <c r="CL206" s="1" t="s">
        <v>45</v>
      </c>
      <c r="CM206" s="1" t="s">
        <v>45</v>
      </c>
      <c r="CO206" s="1" t="s">
        <v>45</v>
      </c>
      <c r="CQ206" s="1" t="s">
        <v>45</v>
      </c>
      <c r="CR206" s="1" t="s">
        <v>45</v>
      </c>
      <c r="CS206" s="1" t="s">
        <v>45</v>
      </c>
      <c r="CT206" s="1" t="s">
        <v>45</v>
      </c>
      <c r="CU206" s="1" t="s">
        <v>45</v>
      </c>
      <c r="CV206" s="1" t="s">
        <v>45</v>
      </c>
      <c r="CW206" s="1" t="s">
        <v>45</v>
      </c>
      <c r="CX206" s="1" t="s">
        <v>45</v>
      </c>
      <c r="CY206" s="1" t="s">
        <v>45</v>
      </c>
      <c r="CZ206" s="1" t="s">
        <v>45</v>
      </c>
      <c r="DA206" s="1" t="s">
        <v>45</v>
      </c>
      <c r="DB206" s="2" t="s">
        <v>45</v>
      </c>
      <c r="DC206" s="1" t="s">
        <v>45</v>
      </c>
      <c r="DD206" s="1" t="s">
        <v>45</v>
      </c>
      <c r="DE206" s="1" t="s">
        <v>45</v>
      </c>
      <c r="DF206" s="1" t="s">
        <v>45</v>
      </c>
      <c r="DG206" s="1" t="s">
        <v>45</v>
      </c>
      <c r="DH206" s="7">
        <v>0</v>
      </c>
      <c r="DI206" s="7">
        <v>0</v>
      </c>
      <c r="DJ206" s="3">
        <v>42240</v>
      </c>
      <c r="DK206" s="1" t="s">
        <v>291</v>
      </c>
      <c r="DL206" s="12">
        <f>(DJ206-I206)/365.25*12</f>
        <v>6.5708418891170428</v>
      </c>
      <c r="DM206" s="1">
        <v>1</v>
      </c>
      <c r="DN206" s="1" t="s">
        <v>290</v>
      </c>
      <c r="DO206" s="3">
        <v>42102</v>
      </c>
      <c r="DP206" s="6" t="s">
        <v>289</v>
      </c>
      <c r="DQ206" s="7">
        <v>1</v>
      </c>
      <c r="DR206" s="3">
        <v>42160</v>
      </c>
      <c r="DS206" s="10">
        <f>IF(DQ206=1, (DR206-$I206)/365.25*12, IF(DQ206=0, $DL206, "ERROR"))</f>
        <v>3.9425051334702257</v>
      </c>
      <c r="DT206" s="7">
        <v>1</v>
      </c>
      <c r="DU206" s="7">
        <v>1</v>
      </c>
      <c r="DV206" s="7">
        <v>1</v>
      </c>
      <c r="DW206" s="16">
        <f>DU206*(1-DV206)</f>
        <v>0</v>
      </c>
      <c r="DX206" s="16">
        <f>(1-DU206)*DV206</f>
        <v>0</v>
      </c>
      <c r="DY206" s="16">
        <f>DU206*DV206</f>
        <v>1</v>
      </c>
      <c r="DZ206" s="3">
        <v>42160</v>
      </c>
      <c r="EA206" s="10">
        <f>IF(DT206=1, (DZ206-$I206)/365.25*12, IF(DT206=0, $DL206, "ERROR"))</f>
        <v>3.9425051334702257</v>
      </c>
      <c r="EB206" s="7">
        <v>1</v>
      </c>
      <c r="EC206" s="7">
        <v>1</v>
      </c>
      <c r="ED206" s="16">
        <f>1-((1-DQ206)*(1-DT206))</f>
        <v>1</v>
      </c>
      <c r="EE206" s="11">
        <f>MIN(DR206,DZ206)</f>
        <v>42160</v>
      </c>
      <c r="EF206" s="1" t="s">
        <v>288</v>
      </c>
      <c r="EG206" s="7" t="s">
        <v>45</v>
      </c>
      <c r="EH206" s="1" t="s">
        <v>45</v>
      </c>
      <c r="EI206" s="1">
        <v>1</v>
      </c>
      <c r="EJ206" s="16">
        <f>(1-DQ206)*DX206*(1-EI206)</f>
        <v>0</v>
      </c>
      <c r="EK206" s="3">
        <v>42102</v>
      </c>
      <c r="EL206" s="10">
        <f>IF(EI206=1, (EK206-$I206)/365.25*12, IF(EI206=0, $DL206, "ERROR"))</f>
        <v>2.0369609856262834</v>
      </c>
      <c r="EM206" s="1" t="s">
        <v>287</v>
      </c>
      <c r="EN206" s="1"/>
      <c r="EO206" s="1"/>
      <c r="EP206" s="1"/>
      <c r="EQ206" s="1"/>
      <c r="ER206" s="1"/>
      <c r="ES206" s="1"/>
      <c r="ET206" s="1"/>
      <c r="EU206" s="1"/>
      <c r="EV206" s="1"/>
      <c r="EW206" s="1"/>
      <c r="EX206" s="7">
        <v>1</v>
      </c>
      <c r="FB206" s="1" t="s">
        <v>45</v>
      </c>
      <c r="FC206" s="1">
        <v>1</v>
      </c>
      <c r="FD206" s="1">
        <v>1</v>
      </c>
      <c r="FF206" s="3">
        <v>42319</v>
      </c>
      <c r="FG206" s="3">
        <f>IF(FC206=1, FF206, IF(FD206=1, 44348, DJ206))</f>
        <v>42319</v>
      </c>
      <c r="FH206" s="13">
        <f>(FG206-I206)/365.25*12</f>
        <v>9.1663244353182751</v>
      </c>
      <c r="FI206" s="13"/>
      <c r="FJ206" s="14">
        <f>IF(OR(DM206,FC206), 1, 0)</f>
        <v>1</v>
      </c>
      <c r="FK206" s="11">
        <f>IF(DM206=1,IF(FC206=1,MIN(DO206,FF206),DO206),IF(FC206=1,FF206,DJ206))</f>
        <v>42102</v>
      </c>
      <c r="FL206" s="13">
        <f>(FK206-$I206)/365.25*12</f>
        <v>2.0369609856262834</v>
      </c>
      <c r="FM206" s="14">
        <f>IF(OR(ED206,FC206), 1, 0)</f>
        <v>1</v>
      </c>
      <c r="FN206" s="11">
        <f>IF(ED206=1,IF(FC206=1,MIN(EE206,FF206),EE206),IF(FC206=1,FF206,DJ206))</f>
        <v>42160</v>
      </c>
      <c r="FO206" s="13">
        <f>(FN206-$I206)/365.25*12</f>
        <v>3.9425051334702257</v>
      </c>
      <c r="FP206" s="14">
        <f>IF(OR(EI206,FC206), 1, 0)</f>
        <v>1</v>
      </c>
      <c r="FQ206" s="11">
        <f>IF(EI206=1,IF(FC206=1,MIN(EK206,FF206),EK206),IF(FC206=1,FF206,DJ206))</f>
        <v>42102</v>
      </c>
      <c r="FR206" s="13">
        <f>(FQ206-$I206)/365.25*12</f>
        <v>2.0369609856262834</v>
      </c>
      <c r="FS206" s="1" t="s">
        <v>45</v>
      </c>
      <c r="FT206" s="1" t="s">
        <v>45</v>
      </c>
      <c r="FU206" s="1">
        <v>0</v>
      </c>
      <c r="FV206" s="1">
        <v>0</v>
      </c>
      <c r="FW206" s="1">
        <v>0</v>
      </c>
      <c r="FX206" s="1">
        <v>0</v>
      </c>
    </row>
    <row r="207" spans="1:182" ht="12.75" hidden="1" customHeight="1">
      <c r="A207" s="1" t="s">
        <v>286</v>
      </c>
      <c r="B207" s="15" t="s">
        <v>285</v>
      </c>
      <c r="C207" s="1">
        <v>45636503</v>
      </c>
      <c r="D207" s="1">
        <v>1</v>
      </c>
      <c r="E207" s="1">
        <v>1</v>
      </c>
      <c r="G207" s="12">
        <v>1</v>
      </c>
      <c r="H207" s="1" t="s">
        <v>284</v>
      </c>
      <c r="I207" s="3">
        <v>41800</v>
      </c>
      <c r="J207" s="3">
        <v>41766</v>
      </c>
      <c r="K207" s="3">
        <v>15672</v>
      </c>
      <c r="L207" s="5">
        <f>(DAYS360(K207,I207))/365</f>
        <v>70.556164383561651</v>
      </c>
      <c r="M207" s="1" t="s">
        <v>5</v>
      </c>
      <c r="N207" s="1">
        <v>1</v>
      </c>
      <c r="O207" s="1">
        <v>0</v>
      </c>
      <c r="P207" s="1" t="s">
        <v>69</v>
      </c>
      <c r="R207" s="1" t="s">
        <v>209</v>
      </c>
      <c r="AI207" s="3">
        <v>41800</v>
      </c>
      <c r="AJ207" s="3">
        <v>41829</v>
      </c>
      <c r="BA207" s="6"/>
      <c r="BB207" s="6"/>
      <c r="BC207" s="6"/>
      <c r="BD207" s="6"/>
      <c r="BE207" s="6"/>
      <c r="DS207" s="3"/>
      <c r="EI207" s="7"/>
      <c r="EN207" s="1"/>
      <c r="EO207" s="1"/>
      <c r="EP207" s="1"/>
      <c r="EQ207" s="1"/>
      <c r="ER207" s="1"/>
      <c r="ES207" s="1"/>
      <c r="ET207" s="1"/>
      <c r="EU207" s="1"/>
      <c r="EV207" s="1"/>
      <c r="EW207" s="1"/>
      <c r="FC207" s="1">
        <v>0</v>
      </c>
      <c r="FD207" s="1">
        <v>1</v>
      </c>
      <c r="FF207" s="1" t="s">
        <v>45</v>
      </c>
      <c r="FG207" s="3">
        <f>IF(FC207=1, FF207, IF(FD207=1, 44348, DJ207))</f>
        <v>44348</v>
      </c>
      <c r="FH207" s="13">
        <f>(FG207-I207)/365.25*12</f>
        <v>83.71252566735113</v>
      </c>
      <c r="FI207" s="13"/>
      <c r="FJ207" s="14"/>
      <c r="FK207" s="11"/>
      <c r="FL207" s="13"/>
      <c r="FM207" s="13"/>
      <c r="FN207" s="11"/>
      <c r="FO207" s="13"/>
      <c r="FP207" s="14"/>
      <c r="FQ207" s="11"/>
      <c r="FR207" s="13"/>
    </row>
    <row r="208" spans="1:182" ht="12.75" hidden="1" customHeight="1">
      <c r="A208" s="1" t="s">
        <v>283</v>
      </c>
      <c r="B208" s="15" t="s">
        <v>282</v>
      </c>
      <c r="C208" s="1">
        <v>48064493</v>
      </c>
      <c r="D208" s="1">
        <v>0</v>
      </c>
      <c r="E208" s="1">
        <v>0</v>
      </c>
      <c r="G208" s="12">
        <v>1</v>
      </c>
      <c r="I208" s="3">
        <v>42496</v>
      </c>
      <c r="J208" s="3">
        <v>42467</v>
      </c>
      <c r="K208" s="3">
        <v>15539</v>
      </c>
      <c r="L208" s="5">
        <f>(DAYS360(K208,I208))/365</f>
        <v>72.791780821917811</v>
      </c>
      <c r="M208" s="9" t="s">
        <v>5</v>
      </c>
      <c r="N208" s="1">
        <v>1</v>
      </c>
      <c r="O208" s="1">
        <v>0</v>
      </c>
      <c r="P208" s="1" t="s">
        <v>69</v>
      </c>
      <c r="Q208" s="1">
        <v>1</v>
      </c>
      <c r="R208" s="1" t="s">
        <v>209</v>
      </c>
      <c r="S208" s="1">
        <v>22</v>
      </c>
      <c r="T208" s="1" t="s">
        <v>80</v>
      </c>
      <c r="U208" s="1">
        <v>0</v>
      </c>
      <c r="V208" s="1">
        <v>1</v>
      </c>
      <c r="W208" s="1">
        <v>0</v>
      </c>
      <c r="X208" s="1" t="s">
        <v>281</v>
      </c>
      <c r="Y208" s="1">
        <v>4</v>
      </c>
      <c r="Z208" s="1">
        <v>1</v>
      </c>
      <c r="AA208" s="1" t="s">
        <v>280</v>
      </c>
      <c r="AC208" s="1">
        <v>4</v>
      </c>
      <c r="AD208" s="1" t="s">
        <v>279</v>
      </c>
      <c r="AE208" s="1" t="s">
        <v>114</v>
      </c>
      <c r="AF208" s="1">
        <v>0</v>
      </c>
      <c r="AG208" s="1">
        <v>0</v>
      </c>
      <c r="AH208" s="1">
        <v>0</v>
      </c>
      <c r="AI208" s="3">
        <v>42496</v>
      </c>
      <c r="AJ208" s="3">
        <v>42442</v>
      </c>
      <c r="AK208" s="6" t="s">
        <v>278</v>
      </c>
      <c r="AL208" s="6" t="s">
        <v>123</v>
      </c>
      <c r="AM208" s="1">
        <v>1</v>
      </c>
      <c r="AN208" s="1">
        <v>1</v>
      </c>
      <c r="AO208" s="1">
        <v>0</v>
      </c>
      <c r="AP208" s="1">
        <v>0</v>
      </c>
      <c r="AQ208" s="1">
        <v>0</v>
      </c>
      <c r="AR208" s="1">
        <v>0</v>
      </c>
      <c r="AS208" s="1"/>
      <c r="AT208" s="1"/>
      <c r="AU208" s="1">
        <v>2</v>
      </c>
      <c r="AV208" s="1">
        <v>0.5</v>
      </c>
      <c r="AW208" s="1"/>
      <c r="AX208" s="6" t="s">
        <v>45</v>
      </c>
      <c r="AY208" s="6" t="s">
        <v>45</v>
      </c>
      <c r="AZ208" s="1">
        <v>0.7</v>
      </c>
      <c r="BF208" s="1" t="s">
        <v>114</v>
      </c>
      <c r="BG208" s="1">
        <v>45</v>
      </c>
      <c r="BH208" s="1">
        <v>45</v>
      </c>
      <c r="BI208" s="1">
        <v>0</v>
      </c>
      <c r="BJ208" s="1">
        <v>0</v>
      </c>
      <c r="BK208" s="1">
        <f>BH208+BI208</f>
        <v>45</v>
      </c>
      <c r="BL208" s="1">
        <v>25</v>
      </c>
      <c r="BM208" s="1">
        <v>1.8</v>
      </c>
      <c r="BN208" s="1" t="s">
        <v>110</v>
      </c>
      <c r="BO208" s="1">
        <v>0</v>
      </c>
      <c r="BP208" s="1">
        <v>1</v>
      </c>
      <c r="BQ208" s="1">
        <v>1</v>
      </c>
      <c r="BR208" s="3">
        <v>42496</v>
      </c>
      <c r="BS208" s="1" t="s">
        <v>61</v>
      </c>
      <c r="BT208" s="12" t="s">
        <v>60</v>
      </c>
      <c r="BU208" s="1">
        <v>5</v>
      </c>
      <c r="BV208" s="1">
        <v>1</v>
      </c>
      <c r="BW208" s="1">
        <v>11.1</v>
      </c>
      <c r="BZ208" s="1">
        <v>11.9</v>
      </c>
      <c r="CA208" s="1">
        <v>271</v>
      </c>
      <c r="CB208" s="1">
        <v>1.42</v>
      </c>
      <c r="CE208" s="1">
        <v>0</v>
      </c>
      <c r="CF208" s="1" t="s">
        <v>45</v>
      </c>
      <c r="CH208" s="1" t="s">
        <v>45</v>
      </c>
      <c r="CI208" s="1" t="s">
        <v>45</v>
      </c>
      <c r="CJ208" s="1" t="s">
        <v>45</v>
      </c>
      <c r="CK208" s="1" t="s">
        <v>45</v>
      </c>
      <c r="CL208" s="1" t="s">
        <v>45</v>
      </c>
      <c r="CM208" s="1" t="s">
        <v>45</v>
      </c>
      <c r="CO208" s="1" t="s">
        <v>45</v>
      </c>
      <c r="CQ208" s="1" t="s">
        <v>45</v>
      </c>
      <c r="CR208" s="1" t="s">
        <v>45</v>
      </c>
      <c r="CS208" s="1" t="s">
        <v>45</v>
      </c>
      <c r="CT208" s="1" t="s">
        <v>45</v>
      </c>
      <c r="CU208" s="1" t="s">
        <v>45</v>
      </c>
      <c r="CV208" s="1" t="s">
        <v>45</v>
      </c>
      <c r="CW208" s="1" t="s">
        <v>45</v>
      </c>
      <c r="CX208" s="1" t="s">
        <v>45</v>
      </c>
      <c r="CY208" s="1" t="s">
        <v>45</v>
      </c>
      <c r="CZ208" s="1" t="s">
        <v>45</v>
      </c>
      <c r="DA208" s="1" t="s">
        <v>45</v>
      </c>
      <c r="DB208" s="2" t="s">
        <v>45</v>
      </c>
      <c r="DC208" s="1" t="s">
        <v>45</v>
      </c>
      <c r="DD208" s="1" t="s">
        <v>45</v>
      </c>
      <c r="DE208" s="1" t="s">
        <v>45</v>
      </c>
      <c r="DF208" s="1" t="s">
        <v>45</v>
      </c>
      <c r="DG208" s="1" t="s">
        <v>45</v>
      </c>
      <c r="DH208" s="7">
        <v>0</v>
      </c>
      <c r="DI208" s="7">
        <v>0</v>
      </c>
      <c r="DJ208" s="3">
        <v>44333</v>
      </c>
      <c r="DK208" s="1" t="s">
        <v>88</v>
      </c>
      <c r="DL208" s="12">
        <f>(DJ208-I208)/365.25*12</f>
        <v>60.353182751540039</v>
      </c>
      <c r="DM208" s="1">
        <v>1</v>
      </c>
      <c r="DN208" s="1" t="s">
        <v>277</v>
      </c>
      <c r="DO208" s="3">
        <v>43289</v>
      </c>
      <c r="DP208" s="6" t="s">
        <v>276</v>
      </c>
      <c r="DQ208" s="7">
        <v>1</v>
      </c>
      <c r="DR208" s="3">
        <v>43289</v>
      </c>
      <c r="DS208" s="10">
        <f>IF(DQ208=1, (DR208-$I208)/365.25*12, IF(DQ208=0, $DL208, "ERROR"))</f>
        <v>26.053388090349078</v>
      </c>
      <c r="DT208" s="7">
        <v>0</v>
      </c>
      <c r="DU208" s="7">
        <v>0</v>
      </c>
      <c r="DV208" s="7">
        <v>0</v>
      </c>
      <c r="DW208" s="16">
        <f>DU208*(1-DV208)</f>
        <v>0</v>
      </c>
      <c r="DX208" s="16">
        <f>(1-DU208)*DV208</f>
        <v>0</v>
      </c>
      <c r="DY208" s="16">
        <f>DU208*DV208</f>
        <v>0</v>
      </c>
      <c r="DZ208" s="3" t="s">
        <v>45</v>
      </c>
      <c r="EA208" s="10">
        <f>IF(DT208=1, (DZ208-$I208)/365.25*12, IF(DT208=0, $DL208, "ERROR"))</f>
        <v>60.353182751540039</v>
      </c>
      <c r="EB208" s="7">
        <v>0</v>
      </c>
      <c r="EC208" s="7">
        <v>0</v>
      </c>
      <c r="ED208" s="16">
        <f>1-((1-DQ208)*(1-DT208))</f>
        <v>1</v>
      </c>
      <c r="EE208" s="11">
        <f>MIN(DR208,DZ208)</f>
        <v>43289</v>
      </c>
      <c r="EF208" s="1" t="s">
        <v>275</v>
      </c>
      <c r="EG208" s="7" t="s">
        <v>49</v>
      </c>
      <c r="EH208" s="1" t="s">
        <v>274</v>
      </c>
      <c r="EI208" s="1">
        <v>1</v>
      </c>
      <c r="EJ208" s="16">
        <f>(1-DQ208)*DX208*(1-EI208)</f>
        <v>0</v>
      </c>
      <c r="EK208" s="3">
        <v>43906</v>
      </c>
      <c r="EL208" s="10">
        <f>IF(EI208=1, (EK208-$I208)/365.25*12, IF(EI208=0, $DL208, "ERROR"))</f>
        <v>46.32443531827515</v>
      </c>
      <c r="EM208" s="1" t="s">
        <v>273</v>
      </c>
      <c r="EN208" s="1"/>
      <c r="EO208" s="1"/>
      <c r="EP208" s="1"/>
      <c r="EQ208" s="1"/>
      <c r="ER208" s="1"/>
      <c r="ES208" s="1"/>
      <c r="ET208" s="1"/>
      <c r="EU208" s="1"/>
      <c r="EV208" s="1"/>
      <c r="EW208" s="1"/>
      <c r="EX208" s="7">
        <v>0</v>
      </c>
      <c r="FB208" s="1" t="s">
        <v>45</v>
      </c>
      <c r="FC208" s="1">
        <v>0</v>
      </c>
      <c r="FD208" s="1">
        <v>1</v>
      </c>
      <c r="FF208" s="1" t="s">
        <v>45</v>
      </c>
      <c r="FG208" s="3">
        <f>IF(FC208=1, FF208, IF(FD208=1, 44348, DJ208))</f>
        <v>44348</v>
      </c>
      <c r="FH208" s="13">
        <f>(FG208-I208)/365.25*12</f>
        <v>60.845995893223822</v>
      </c>
      <c r="FI208" s="13"/>
      <c r="FJ208" s="14">
        <f>IF(OR(DM208,FC208), 1, 0)</f>
        <v>1</v>
      </c>
      <c r="FK208" s="11">
        <f>IF(DM208=1,IF(FC208=1,MIN(DO208,FF208),DO208),IF(FC208=1,FF208,DJ208))</f>
        <v>43289</v>
      </c>
      <c r="FL208" s="13">
        <f>(FK208-$I208)/365.25*12</f>
        <v>26.053388090349078</v>
      </c>
      <c r="FM208" s="14">
        <f>IF(OR(ED208,FC208), 1, 0)</f>
        <v>1</v>
      </c>
      <c r="FN208" s="11">
        <f>IF(ED208=1,IF(FC208=1,MIN(EE208,FF208),EE208),IF(FC208=1,FF208,DJ208))</f>
        <v>43289</v>
      </c>
      <c r="FO208" s="13">
        <f>(FN208-$I208)/365.25*12</f>
        <v>26.053388090349078</v>
      </c>
      <c r="FP208" s="14">
        <f>IF(OR(EI208,FC208), 1, 0)</f>
        <v>1</v>
      </c>
      <c r="FQ208" s="11">
        <f>IF(EI208=1,IF(FC208=1,MIN(EK208,FF208),EK208),IF(FC208=1,FF208,DJ208))</f>
        <v>43906</v>
      </c>
      <c r="FR208" s="13">
        <f>(FQ208-$I208)/365.25*12</f>
        <v>46.32443531827515</v>
      </c>
      <c r="FS208" s="1" t="s">
        <v>45</v>
      </c>
      <c r="FT208" s="1" t="s">
        <v>45</v>
      </c>
      <c r="FU208" s="1">
        <v>0</v>
      </c>
      <c r="FV208" s="1">
        <v>0</v>
      </c>
      <c r="FW208" s="1">
        <v>0</v>
      </c>
      <c r="FX208" s="1">
        <v>1</v>
      </c>
    </row>
    <row r="209" spans="1:180" ht="12.75" hidden="1" customHeight="1">
      <c r="A209" s="1" t="s">
        <v>272</v>
      </c>
      <c r="B209" s="15" t="s">
        <v>271</v>
      </c>
      <c r="C209" s="1">
        <v>38414642</v>
      </c>
      <c r="D209" s="1">
        <v>1</v>
      </c>
      <c r="E209" s="1">
        <v>1</v>
      </c>
      <c r="G209" s="12">
        <v>1</v>
      </c>
      <c r="H209" s="1" t="s">
        <v>224</v>
      </c>
      <c r="I209" s="3">
        <v>39848</v>
      </c>
      <c r="J209" s="3">
        <v>39800</v>
      </c>
      <c r="K209" s="3">
        <v>18483</v>
      </c>
      <c r="L209" s="5">
        <f>(DAYS360(K209,I209))/365</f>
        <v>57.68767123287671</v>
      </c>
      <c r="M209" s="1" t="s">
        <v>5</v>
      </c>
      <c r="N209" s="1" t="s">
        <v>45</v>
      </c>
      <c r="O209" s="1">
        <v>0</v>
      </c>
      <c r="P209" s="1" t="s">
        <v>161</v>
      </c>
      <c r="R209" s="1" t="s">
        <v>270</v>
      </c>
      <c r="AI209" s="3">
        <v>39848</v>
      </c>
      <c r="AJ209" s="3">
        <v>39890</v>
      </c>
      <c r="BA209" s="6"/>
      <c r="BB209" s="6"/>
      <c r="BC209" s="6"/>
      <c r="BD209" s="6"/>
      <c r="BE209" s="6"/>
      <c r="DS209" s="3"/>
      <c r="EI209" s="7"/>
      <c r="EN209" s="1"/>
      <c r="EO209" s="1"/>
      <c r="EP209" s="1"/>
      <c r="EQ209" s="1"/>
      <c r="ER209" s="1"/>
      <c r="ES209" s="1"/>
      <c r="ET209" s="1"/>
      <c r="EU209" s="1"/>
      <c r="EV209" s="1"/>
      <c r="EW209" s="1"/>
      <c r="FC209" s="1">
        <v>1</v>
      </c>
      <c r="FD209" s="1">
        <v>1</v>
      </c>
      <c r="FF209" s="3">
        <v>39958</v>
      </c>
      <c r="FG209" s="3">
        <f>IF(FC209=1, FF209, IF(FD209=1, 44348, DJ209))</f>
        <v>39958</v>
      </c>
      <c r="FH209" s="13">
        <f>(FG209-I209)/365.25*12</f>
        <v>3.6139630390143735</v>
      </c>
      <c r="FI209" s="13"/>
      <c r="FJ209" s="14"/>
      <c r="FK209" s="11"/>
      <c r="FL209" s="13"/>
      <c r="FM209" s="14"/>
      <c r="FN209" s="11"/>
      <c r="FO209" s="13"/>
      <c r="FP209" s="14"/>
      <c r="FQ209" s="11"/>
      <c r="FR209" s="13"/>
    </row>
    <row r="210" spans="1:180" ht="12.75" hidden="1" customHeight="1">
      <c r="A210" s="1" t="s">
        <v>269</v>
      </c>
      <c r="B210" s="15" t="s">
        <v>268</v>
      </c>
      <c r="C210" s="1">
        <v>47080106</v>
      </c>
      <c r="D210" s="1">
        <v>1</v>
      </c>
      <c r="E210" s="1">
        <v>1</v>
      </c>
      <c r="G210" s="12">
        <v>1</v>
      </c>
      <c r="H210" s="1" t="s">
        <v>267</v>
      </c>
      <c r="I210" s="3">
        <v>42215</v>
      </c>
      <c r="J210" s="3">
        <v>42193</v>
      </c>
      <c r="K210" s="3">
        <v>21095</v>
      </c>
      <c r="L210" s="5">
        <f>(DAYS360(K210,I210))/365</f>
        <v>57.035616438356165</v>
      </c>
      <c r="M210" s="1" t="s">
        <v>5</v>
      </c>
      <c r="N210" s="1">
        <v>1</v>
      </c>
      <c r="O210" s="1">
        <v>0</v>
      </c>
      <c r="P210" s="1" t="s">
        <v>69</v>
      </c>
      <c r="R210" s="1" t="s">
        <v>209</v>
      </c>
      <c r="AI210" s="3">
        <v>42215</v>
      </c>
      <c r="AJ210" s="3">
        <v>42249</v>
      </c>
      <c r="BA210" s="6"/>
      <c r="BB210" s="6"/>
      <c r="BC210" s="6"/>
      <c r="BD210" s="6"/>
      <c r="BE210" s="6"/>
      <c r="DS210" s="3"/>
      <c r="EI210" s="7"/>
      <c r="EN210" s="1"/>
      <c r="EO210" s="1"/>
      <c r="EP210" s="1"/>
      <c r="EQ210" s="1"/>
      <c r="ER210" s="1"/>
      <c r="ES210" s="1"/>
      <c r="ET210" s="1"/>
      <c r="EU210" s="1"/>
      <c r="EV210" s="1"/>
      <c r="EW210" s="1"/>
      <c r="FC210" s="1">
        <v>1</v>
      </c>
      <c r="FD210" s="1">
        <v>1</v>
      </c>
      <c r="FF210" s="3">
        <v>43745</v>
      </c>
      <c r="FG210" s="3">
        <f>IF(FC210=1, FF210, IF(FD210=1, 44348, DJ210))</f>
        <v>43745</v>
      </c>
      <c r="FH210" s="13">
        <f>(FG210-I210)/365.25*12</f>
        <v>50.266940451745384</v>
      </c>
      <c r="FI210" s="13"/>
      <c r="FJ210" s="14"/>
      <c r="FK210" s="11"/>
      <c r="FL210" s="13"/>
      <c r="FM210" s="14"/>
      <c r="FN210" s="11"/>
      <c r="FO210" s="13"/>
      <c r="FP210" s="14"/>
      <c r="FQ210" s="11"/>
      <c r="FR210" s="13"/>
    </row>
    <row r="211" spans="1:180" ht="12.75" hidden="1" customHeight="1">
      <c r="A211" s="1" t="s">
        <v>266</v>
      </c>
      <c r="B211" s="15" t="s">
        <v>265</v>
      </c>
      <c r="C211" s="1">
        <v>47602032</v>
      </c>
      <c r="D211" s="1">
        <v>0</v>
      </c>
      <c r="E211" s="1">
        <v>0</v>
      </c>
      <c r="G211" s="12">
        <v>1</v>
      </c>
      <c r="I211" s="3">
        <v>42355</v>
      </c>
      <c r="J211" s="3">
        <v>42340</v>
      </c>
      <c r="K211" s="3">
        <v>22909</v>
      </c>
      <c r="L211" s="5">
        <f>(DAYS360(K211,I211))/365</f>
        <v>52.512328767123286</v>
      </c>
      <c r="M211" s="1" t="s">
        <v>5</v>
      </c>
      <c r="N211" s="1">
        <v>1</v>
      </c>
      <c r="O211" s="1">
        <v>0</v>
      </c>
      <c r="P211" s="1" t="s">
        <v>161</v>
      </c>
      <c r="Q211" s="1">
        <v>0</v>
      </c>
      <c r="R211" s="1" t="s">
        <v>209</v>
      </c>
      <c r="S211" s="1" t="s">
        <v>264</v>
      </c>
      <c r="T211" s="1" t="s">
        <v>67</v>
      </c>
      <c r="U211" s="1">
        <v>0</v>
      </c>
      <c r="V211" s="1">
        <v>0</v>
      </c>
      <c r="W211" s="1">
        <v>1</v>
      </c>
      <c r="X211" s="1" t="s">
        <v>117</v>
      </c>
      <c r="Y211" s="1">
        <v>3</v>
      </c>
      <c r="Z211" s="1">
        <v>1</v>
      </c>
      <c r="AA211" s="1" t="s">
        <v>116</v>
      </c>
      <c r="AC211" s="1">
        <v>3</v>
      </c>
      <c r="AD211" s="1" t="s">
        <v>263</v>
      </c>
      <c r="AE211" s="1" t="s">
        <v>125</v>
      </c>
      <c r="AF211" s="1">
        <v>0</v>
      </c>
      <c r="AG211" s="1">
        <v>0</v>
      </c>
      <c r="AH211" s="1">
        <v>0</v>
      </c>
      <c r="AI211" s="3">
        <v>42355</v>
      </c>
      <c r="AJ211" s="3">
        <v>42391</v>
      </c>
      <c r="AK211" s="6" t="s">
        <v>262</v>
      </c>
      <c r="AL211" s="6" t="s">
        <v>250</v>
      </c>
      <c r="AM211" s="1">
        <v>1</v>
      </c>
      <c r="AN211" s="1">
        <v>1</v>
      </c>
      <c r="AO211" s="1">
        <v>0</v>
      </c>
      <c r="AP211" s="1">
        <v>0</v>
      </c>
      <c r="AQ211" s="1">
        <v>0</v>
      </c>
      <c r="AR211" s="1">
        <v>0</v>
      </c>
      <c r="AS211" s="1"/>
      <c r="AT211" s="1"/>
      <c r="AU211" s="6" t="s">
        <v>261</v>
      </c>
      <c r="AV211" s="1">
        <v>0.5</v>
      </c>
      <c r="AW211" s="1"/>
      <c r="AX211" s="6" t="s">
        <v>45</v>
      </c>
      <c r="AY211" s="6" t="s">
        <v>45</v>
      </c>
      <c r="AZ211" s="1">
        <v>0.7</v>
      </c>
      <c r="BF211" s="1" t="s">
        <v>260</v>
      </c>
      <c r="BG211" s="1">
        <v>45</v>
      </c>
      <c r="BH211" s="1">
        <v>45</v>
      </c>
      <c r="BI211" s="1">
        <v>0</v>
      </c>
      <c r="BJ211" s="1">
        <v>0</v>
      </c>
      <c r="BK211" s="1">
        <f>BH211+BI211</f>
        <v>45</v>
      </c>
      <c r="BL211" s="1">
        <v>25</v>
      </c>
      <c r="BM211" s="1">
        <v>1.8</v>
      </c>
      <c r="BN211" s="1" t="s">
        <v>110</v>
      </c>
      <c r="BO211" s="1">
        <v>0</v>
      </c>
      <c r="BP211" s="1">
        <v>1</v>
      </c>
      <c r="BQ211" s="1">
        <v>1</v>
      </c>
      <c r="BR211" s="3">
        <v>42355</v>
      </c>
      <c r="BS211" s="1" t="s">
        <v>61</v>
      </c>
      <c r="BT211" s="12" t="s">
        <v>60</v>
      </c>
      <c r="BU211" s="1">
        <v>5</v>
      </c>
      <c r="BV211" s="1">
        <v>1</v>
      </c>
      <c r="BW211" s="1">
        <v>8.09</v>
      </c>
      <c r="BZ211" s="1">
        <v>14.2</v>
      </c>
      <c r="CA211" s="1">
        <v>268</v>
      </c>
      <c r="CB211" s="1">
        <v>1.63</v>
      </c>
      <c r="CE211" s="1">
        <v>0</v>
      </c>
      <c r="CF211" s="1" t="s">
        <v>45</v>
      </c>
      <c r="CH211" s="1" t="s">
        <v>45</v>
      </c>
      <c r="CI211" s="1" t="s">
        <v>45</v>
      </c>
      <c r="CJ211" s="1" t="s">
        <v>45</v>
      </c>
      <c r="CK211" s="1" t="s">
        <v>45</v>
      </c>
      <c r="CL211" s="1" t="s">
        <v>45</v>
      </c>
      <c r="CM211" s="1" t="s">
        <v>45</v>
      </c>
      <c r="CO211" s="1" t="s">
        <v>45</v>
      </c>
      <c r="CQ211" s="1" t="s">
        <v>45</v>
      </c>
      <c r="CR211" s="1" t="s">
        <v>45</v>
      </c>
      <c r="CS211" s="1" t="s">
        <v>45</v>
      </c>
      <c r="CT211" s="1" t="s">
        <v>45</v>
      </c>
      <c r="CU211" s="1" t="s">
        <v>45</v>
      </c>
      <c r="CV211" s="1" t="s">
        <v>45</v>
      </c>
      <c r="CW211" s="1" t="s">
        <v>45</v>
      </c>
      <c r="CX211" s="1" t="s">
        <v>45</v>
      </c>
      <c r="CY211" s="1" t="s">
        <v>45</v>
      </c>
      <c r="CZ211" s="1" t="s">
        <v>45</v>
      </c>
      <c r="DA211" s="1" t="s">
        <v>45</v>
      </c>
      <c r="DB211" s="2" t="s">
        <v>45</v>
      </c>
      <c r="DC211" s="1" t="s">
        <v>45</v>
      </c>
      <c r="DD211" s="1" t="s">
        <v>45</v>
      </c>
      <c r="DE211" s="1" t="s">
        <v>45</v>
      </c>
      <c r="DF211" s="1" t="s">
        <v>45</v>
      </c>
      <c r="DG211" s="1" t="s">
        <v>45</v>
      </c>
      <c r="DH211" s="7">
        <v>0</v>
      </c>
      <c r="DI211" s="7">
        <v>0</v>
      </c>
      <c r="DJ211" s="3">
        <v>42898</v>
      </c>
      <c r="DK211" s="1" t="s">
        <v>88</v>
      </c>
      <c r="DL211" s="12">
        <f>(DJ211-I211)/365.25*12</f>
        <v>17.839835728952771</v>
      </c>
      <c r="DM211" s="1">
        <v>1</v>
      </c>
      <c r="DN211" s="1" t="s">
        <v>259</v>
      </c>
      <c r="DO211" s="3">
        <v>42412</v>
      </c>
      <c r="DP211" s="6" t="s">
        <v>258</v>
      </c>
      <c r="DQ211" s="7">
        <v>0</v>
      </c>
      <c r="DR211" s="3" t="s">
        <v>45</v>
      </c>
      <c r="DS211" s="10">
        <f>IF(DQ211=1, (DR211-$I211)/365.25*12, IF(DQ211=0, $DL211, "ERROR"))</f>
        <v>17.839835728952771</v>
      </c>
      <c r="DT211" s="7">
        <v>1</v>
      </c>
      <c r="DU211" s="7">
        <v>1</v>
      </c>
      <c r="DV211" s="7">
        <v>1</v>
      </c>
      <c r="DW211" s="16">
        <f>DU211*(1-DV211)</f>
        <v>0</v>
      </c>
      <c r="DX211" s="16">
        <f>(1-DU211)*DV211</f>
        <v>0</v>
      </c>
      <c r="DY211" s="16">
        <f>DU211*DV211</f>
        <v>1</v>
      </c>
      <c r="DZ211" s="3">
        <v>42412</v>
      </c>
      <c r="EA211" s="10">
        <f>IF(DT211=1, (DZ211-$I211)/365.25*12, IF(DT211=0, $DL211, "ERROR"))</f>
        <v>1.8726899383983575</v>
      </c>
      <c r="EB211" s="7">
        <v>1</v>
      </c>
      <c r="EC211" s="7">
        <v>0</v>
      </c>
      <c r="ED211" s="16">
        <f>1-((1-DQ211)*(1-DT211))</f>
        <v>1</v>
      </c>
      <c r="EE211" s="11">
        <f>MIN(DR211,DZ211)</f>
        <v>42412</v>
      </c>
      <c r="EF211" s="1" t="s">
        <v>257</v>
      </c>
      <c r="EG211" s="7" t="s">
        <v>45</v>
      </c>
      <c r="EH211" s="1" t="s">
        <v>45</v>
      </c>
      <c r="EI211" s="1">
        <v>1</v>
      </c>
      <c r="EJ211" s="16">
        <f>(1-DQ211)*DX211*(1-EI211)</f>
        <v>0</v>
      </c>
      <c r="EK211" s="3">
        <v>42412</v>
      </c>
      <c r="EL211" s="10">
        <f>IF(EI211=1, (EK211-$I211)/365.25*12, IF(EI211=0, $DL211, "ERROR"))</f>
        <v>1.8726899383983575</v>
      </c>
      <c r="EM211" s="1" t="s">
        <v>256</v>
      </c>
      <c r="EN211" s="1"/>
      <c r="EO211" s="1"/>
      <c r="EP211" s="1"/>
      <c r="EQ211" s="1"/>
      <c r="ER211" s="1"/>
      <c r="ES211" s="1"/>
      <c r="ET211" s="1"/>
      <c r="EU211" s="1"/>
      <c r="EV211" s="1"/>
      <c r="EW211" s="1"/>
      <c r="EX211" s="7">
        <v>0</v>
      </c>
      <c r="FB211" s="1" t="s">
        <v>45</v>
      </c>
      <c r="FC211" s="1">
        <v>1</v>
      </c>
      <c r="FD211" s="1">
        <v>1</v>
      </c>
      <c r="FF211" s="3">
        <v>42968</v>
      </c>
      <c r="FG211" s="3">
        <f>IF(FC211=1, FF211, IF(FD211=1, 44348, DJ211))</f>
        <v>42968</v>
      </c>
      <c r="FH211" s="13">
        <f>(FG211-I211)/365.25*12</f>
        <v>20.139630390143736</v>
      </c>
      <c r="FI211" s="13"/>
      <c r="FJ211" s="14">
        <f>IF(OR(DM211,FC211), 1, 0)</f>
        <v>1</v>
      </c>
      <c r="FK211" s="11">
        <f>IF(DM211=1,IF(FC211=1,MIN(DO211,FF211),DO211),IF(FC211=1,FF211,DJ211))</f>
        <v>42412</v>
      </c>
      <c r="FL211" s="13">
        <f>(FK211-$I211)/365.25*12</f>
        <v>1.8726899383983575</v>
      </c>
      <c r="FM211" s="14">
        <f>IF(OR(ED211,FC211), 1, 0)</f>
        <v>1</v>
      </c>
      <c r="FN211" s="11">
        <f>IF(ED211=1,IF(FC211=1,MIN(EE211,FF211),EE211),IF(FC211=1,FF211,DJ211))</f>
        <v>42412</v>
      </c>
      <c r="FO211" s="13">
        <f>(FN211-$I211)/365.25*12</f>
        <v>1.8726899383983575</v>
      </c>
      <c r="FP211" s="14">
        <f>IF(OR(EI211,FC211), 1, 0)</f>
        <v>1</v>
      </c>
      <c r="FQ211" s="11">
        <f>IF(EI211=1,IF(FC211=1,MIN(EK211,FF211),EK211),IF(FC211=1,FF211,DJ211))</f>
        <v>42412</v>
      </c>
      <c r="FR211" s="13">
        <f>(FQ211-$I211)/365.25*12</f>
        <v>1.8726899383983575</v>
      </c>
      <c r="FS211" s="1" t="s">
        <v>255</v>
      </c>
      <c r="FT211" s="1" t="s">
        <v>45</v>
      </c>
      <c r="FU211" s="1">
        <v>0</v>
      </c>
      <c r="FV211" s="1">
        <v>0</v>
      </c>
      <c r="FW211" s="1">
        <v>0</v>
      </c>
      <c r="FX211" s="1">
        <v>0</v>
      </c>
    </row>
    <row r="212" spans="1:180" ht="12.75" hidden="1" customHeight="1">
      <c r="A212" s="1" t="s">
        <v>254</v>
      </c>
      <c r="B212" s="15" t="s">
        <v>253</v>
      </c>
      <c r="C212" s="1">
        <v>47796672</v>
      </c>
      <c r="D212" s="1">
        <v>0</v>
      </c>
      <c r="E212" s="1">
        <v>0</v>
      </c>
      <c r="G212" s="12">
        <v>1</v>
      </c>
      <c r="I212" s="3">
        <v>42422</v>
      </c>
      <c r="J212" s="3">
        <v>42403</v>
      </c>
      <c r="K212" s="3">
        <v>16229</v>
      </c>
      <c r="L212" s="5">
        <f>(DAYS360(K212,I212))/365</f>
        <v>70.728767123287668</v>
      </c>
      <c r="M212" s="1" t="s">
        <v>5</v>
      </c>
      <c r="N212" s="1">
        <v>1</v>
      </c>
      <c r="O212" s="1">
        <v>0</v>
      </c>
      <c r="P212" s="1" t="s">
        <v>69</v>
      </c>
      <c r="Q212" s="1">
        <v>1</v>
      </c>
      <c r="R212" s="1" t="s">
        <v>209</v>
      </c>
      <c r="S212" s="1">
        <v>30</v>
      </c>
      <c r="T212" s="1" t="s">
        <v>67</v>
      </c>
      <c r="U212" s="1">
        <v>0</v>
      </c>
      <c r="V212" s="1">
        <v>0</v>
      </c>
      <c r="W212" s="1">
        <v>1</v>
      </c>
      <c r="X212" s="1" t="s">
        <v>117</v>
      </c>
      <c r="Y212" s="1">
        <v>3</v>
      </c>
      <c r="Z212" s="1">
        <v>2</v>
      </c>
      <c r="AA212" s="1" t="s">
        <v>116</v>
      </c>
      <c r="AC212" s="1">
        <v>3</v>
      </c>
      <c r="AD212" s="1" t="s">
        <v>252</v>
      </c>
      <c r="AE212" s="1" t="s">
        <v>148</v>
      </c>
      <c r="AF212" s="1">
        <v>0</v>
      </c>
      <c r="AG212" s="1">
        <v>0</v>
      </c>
      <c r="AH212" s="1">
        <v>0</v>
      </c>
      <c r="AI212" s="3">
        <v>42422</v>
      </c>
      <c r="AJ212" s="3">
        <v>42457</v>
      </c>
      <c r="AK212" s="6" t="s">
        <v>251</v>
      </c>
      <c r="AL212" s="6" t="s">
        <v>250</v>
      </c>
      <c r="AM212" s="1">
        <v>0</v>
      </c>
      <c r="AN212" s="1">
        <v>0</v>
      </c>
      <c r="AO212" s="1">
        <v>0</v>
      </c>
      <c r="AP212" s="1">
        <v>0</v>
      </c>
      <c r="AQ212" s="1">
        <v>1</v>
      </c>
      <c r="AR212" s="1">
        <v>1</v>
      </c>
      <c r="AS212" s="1"/>
      <c r="AT212" s="1"/>
      <c r="AU212" s="6" t="s">
        <v>249</v>
      </c>
      <c r="AV212" s="1">
        <v>0.5</v>
      </c>
      <c r="AW212" s="1"/>
      <c r="AX212" s="6" t="s">
        <v>45</v>
      </c>
      <c r="AY212" s="6" t="s">
        <v>45</v>
      </c>
      <c r="AZ212" s="6" t="s">
        <v>111</v>
      </c>
      <c r="BA212" s="6"/>
      <c r="BB212" s="6"/>
      <c r="BC212" s="6"/>
      <c r="BD212" s="6"/>
      <c r="BE212" s="6"/>
      <c r="BF212" s="1" t="s">
        <v>248</v>
      </c>
      <c r="BG212" s="1">
        <v>45</v>
      </c>
      <c r="BH212" s="1">
        <v>45</v>
      </c>
      <c r="BI212" s="1">
        <v>0</v>
      </c>
      <c r="BJ212" s="1">
        <v>0</v>
      </c>
      <c r="BK212" s="1">
        <f>BH212+BI212</f>
        <v>45</v>
      </c>
      <c r="BL212" s="1">
        <v>25</v>
      </c>
      <c r="BM212" s="1">
        <v>1.8</v>
      </c>
      <c r="BN212" s="1" t="s">
        <v>110</v>
      </c>
      <c r="BO212" s="1">
        <v>0</v>
      </c>
      <c r="BP212" s="1">
        <v>1</v>
      </c>
      <c r="BQ212" s="1">
        <v>1</v>
      </c>
      <c r="BR212" s="3">
        <v>42422</v>
      </c>
      <c r="BS212" s="1" t="s">
        <v>61</v>
      </c>
      <c r="BT212" s="12" t="s">
        <v>60</v>
      </c>
      <c r="BU212" s="1">
        <v>2</v>
      </c>
      <c r="BV212" s="1">
        <v>0</v>
      </c>
      <c r="BW212" s="1">
        <v>12.54</v>
      </c>
      <c r="BZ212" s="1">
        <v>10.3</v>
      </c>
      <c r="CA212" s="1">
        <v>360</v>
      </c>
      <c r="CB212" s="1">
        <v>1.69</v>
      </c>
      <c r="CE212" s="1">
        <v>0</v>
      </c>
      <c r="CF212" s="1" t="s">
        <v>45</v>
      </c>
      <c r="CH212" s="1" t="s">
        <v>45</v>
      </c>
      <c r="CI212" s="1" t="s">
        <v>45</v>
      </c>
      <c r="CJ212" s="1" t="s">
        <v>45</v>
      </c>
      <c r="CK212" s="1" t="s">
        <v>45</v>
      </c>
      <c r="CL212" s="1" t="s">
        <v>45</v>
      </c>
      <c r="CM212" s="1" t="s">
        <v>45</v>
      </c>
      <c r="CO212" s="1" t="s">
        <v>45</v>
      </c>
      <c r="CQ212" s="1" t="s">
        <v>45</v>
      </c>
      <c r="CR212" s="1" t="s">
        <v>45</v>
      </c>
      <c r="CS212" s="1" t="s">
        <v>45</v>
      </c>
      <c r="CT212" s="1" t="s">
        <v>45</v>
      </c>
      <c r="CU212" s="1" t="s">
        <v>45</v>
      </c>
      <c r="CV212" s="1" t="s">
        <v>45</v>
      </c>
      <c r="CW212" s="1" t="s">
        <v>45</v>
      </c>
      <c r="CX212" s="1" t="s">
        <v>45</v>
      </c>
      <c r="CY212" s="1" t="s">
        <v>45</v>
      </c>
      <c r="CZ212" s="1" t="s">
        <v>45</v>
      </c>
      <c r="DA212" s="1" t="s">
        <v>45</v>
      </c>
      <c r="DB212" s="2" t="s">
        <v>45</v>
      </c>
      <c r="DC212" s="1" t="s">
        <v>45</v>
      </c>
      <c r="DD212" s="1" t="s">
        <v>45</v>
      </c>
      <c r="DE212" s="1" t="s">
        <v>45</v>
      </c>
      <c r="DF212" s="1" t="s">
        <v>45</v>
      </c>
      <c r="DG212" s="1" t="s">
        <v>45</v>
      </c>
      <c r="DH212" s="7">
        <v>0</v>
      </c>
      <c r="DI212" s="7">
        <v>0</v>
      </c>
      <c r="DJ212" s="3">
        <v>42515</v>
      </c>
      <c r="DK212" s="1" t="s">
        <v>132</v>
      </c>
      <c r="DL212" s="12">
        <f>(DJ212-I212)/365.25*12</f>
        <v>3.055441478439425</v>
      </c>
      <c r="DM212" s="1">
        <v>1</v>
      </c>
      <c r="DN212" s="1" t="s">
        <v>247</v>
      </c>
      <c r="DO212" s="3">
        <v>42509</v>
      </c>
      <c r="DP212" s="6" t="s">
        <v>133</v>
      </c>
      <c r="DQ212" s="7">
        <v>0</v>
      </c>
      <c r="DR212" s="3" t="s">
        <v>45</v>
      </c>
      <c r="DS212" s="10">
        <f>IF(DQ212=1, (DR212-$I212)/365.25*12, IF(DQ212=0, $DL212, "ERROR"))</f>
        <v>3.055441478439425</v>
      </c>
      <c r="DT212" s="7">
        <v>0</v>
      </c>
      <c r="DU212" s="7">
        <v>0</v>
      </c>
      <c r="DV212" s="7">
        <v>0</v>
      </c>
      <c r="DW212" s="16">
        <f>DU212*(1-DV212)</f>
        <v>0</v>
      </c>
      <c r="DX212" s="16">
        <f>(1-DU212)*DV212</f>
        <v>0</v>
      </c>
      <c r="DY212" s="16">
        <f>DU212*DV212</f>
        <v>0</v>
      </c>
      <c r="DZ212" s="3" t="s">
        <v>45</v>
      </c>
      <c r="EA212" s="10">
        <f>IF(DT212=1, (DZ212-$I212)/365.25*12, IF(DT212=0, $DL212, "ERROR"))</f>
        <v>3.055441478439425</v>
      </c>
      <c r="EB212" s="7">
        <v>0</v>
      </c>
      <c r="EC212" s="7">
        <v>0</v>
      </c>
      <c r="ED212" s="16">
        <f>1-((1-DQ212)*(1-DT212))</f>
        <v>0</v>
      </c>
      <c r="EE212" s="11" t="s">
        <v>45</v>
      </c>
      <c r="EF212" s="1" t="s">
        <v>45</v>
      </c>
      <c r="EG212" s="7" t="s">
        <v>45</v>
      </c>
      <c r="EH212" s="1" t="s">
        <v>45</v>
      </c>
      <c r="EI212" s="1">
        <v>1</v>
      </c>
      <c r="EJ212" s="16">
        <f>(1-DQ212)*DX212*(1-EI212)</f>
        <v>0</v>
      </c>
      <c r="EK212" s="3">
        <v>42509</v>
      </c>
      <c r="EL212" s="10">
        <f>IF(EI212=1, (EK212-$I212)/365.25*12, IF(EI212=0, $DL212, "ERROR"))</f>
        <v>2.8583162217659139</v>
      </c>
      <c r="EM212" s="1" t="s">
        <v>247</v>
      </c>
      <c r="EN212" s="1"/>
      <c r="EO212" s="1"/>
      <c r="EP212" s="1"/>
      <c r="EQ212" s="1"/>
      <c r="ER212" s="1"/>
      <c r="ES212" s="1"/>
      <c r="ET212" s="1"/>
      <c r="EU212" s="1"/>
      <c r="EV212" s="1"/>
      <c r="EW212" s="1"/>
      <c r="EX212" s="7">
        <v>0</v>
      </c>
      <c r="FB212" s="1" t="s">
        <v>45</v>
      </c>
      <c r="FC212" s="1">
        <v>1</v>
      </c>
      <c r="FD212" s="1">
        <v>1</v>
      </c>
      <c r="FF212" s="3">
        <v>42802</v>
      </c>
      <c r="FG212" s="3">
        <f>IF(FC212=1, FF212, IF(FD212=1, 44348, DJ212))</f>
        <v>42802</v>
      </c>
      <c r="FH212" s="13">
        <f>(FG212-I212)/365.25*12</f>
        <v>12.484599589322382</v>
      </c>
      <c r="FI212" s="13"/>
      <c r="FJ212" s="14">
        <f>IF(OR(DM212,FC212), 1, 0)</f>
        <v>1</v>
      </c>
      <c r="FK212" s="11">
        <f>IF(DM212=1,IF(FC212=1,MIN(DO212,FF212),DO212),IF(FC212=1,FF212,DJ212))</f>
        <v>42509</v>
      </c>
      <c r="FL212" s="13">
        <f>(FK212-$I212)/365.25*12</f>
        <v>2.8583162217659139</v>
      </c>
      <c r="FM212" s="14">
        <f>IF(OR(ED212,FC212), 1, 0)</f>
        <v>1</v>
      </c>
      <c r="FN212" s="11">
        <f>IF(ED212=1,IF(FC212=1,MIN(EE212,FF212),EE212),IF(FC212=1,FF212,DJ212))</f>
        <v>42802</v>
      </c>
      <c r="FO212" s="13">
        <f>(FN212-$I212)/365.25*12</f>
        <v>12.484599589322382</v>
      </c>
      <c r="FP212" s="14">
        <f>IF(OR(EI212,FC212), 1, 0)</f>
        <v>1</v>
      </c>
      <c r="FQ212" s="11">
        <f>IF(EI212=1,IF(FC212=1,MIN(EK212,FF212),EK212),IF(FC212=1,FF212,DJ212))</f>
        <v>42509</v>
      </c>
      <c r="FR212" s="13">
        <f>(FQ212-$I212)/365.25*12</f>
        <v>2.8583162217659139</v>
      </c>
      <c r="FU212" s="1">
        <v>0</v>
      </c>
      <c r="FV212" s="1">
        <v>0</v>
      </c>
      <c r="FW212" s="1">
        <v>0</v>
      </c>
      <c r="FX212" s="1">
        <v>0</v>
      </c>
    </row>
    <row r="213" spans="1:180" ht="12.75" hidden="1" customHeight="1">
      <c r="A213" s="1" t="s">
        <v>246</v>
      </c>
      <c r="B213" s="15" t="s">
        <v>245</v>
      </c>
      <c r="C213" s="1">
        <v>43014068</v>
      </c>
      <c r="D213" s="1">
        <v>0</v>
      </c>
      <c r="E213" s="1">
        <v>0</v>
      </c>
      <c r="G213" s="12">
        <v>1</v>
      </c>
      <c r="I213" s="3">
        <v>43243</v>
      </c>
      <c r="J213" s="3">
        <v>41831</v>
      </c>
      <c r="K213" s="3">
        <v>22886</v>
      </c>
      <c r="L213" s="5">
        <f>(DAYS360(K213,I213))/365</f>
        <v>54.972602739726028</v>
      </c>
      <c r="M213" s="1" t="s">
        <v>5</v>
      </c>
      <c r="N213" s="1">
        <v>1</v>
      </c>
      <c r="O213" s="1">
        <v>0</v>
      </c>
      <c r="P213" s="1" t="s">
        <v>69</v>
      </c>
      <c r="Q213" s="1">
        <v>1</v>
      </c>
      <c r="R213" s="1" t="s">
        <v>209</v>
      </c>
      <c r="S213" s="1" t="s">
        <v>244</v>
      </c>
      <c r="T213" s="1" t="s">
        <v>98</v>
      </c>
      <c r="U213" s="1">
        <v>1</v>
      </c>
      <c r="V213" s="1">
        <v>1</v>
      </c>
      <c r="W213" s="1">
        <v>0</v>
      </c>
      <c r="X213" s="1" t="s">
        <v>243</v>
      </c>
      <c r="Y213" s="1">
        <v>3</v>
      </c>
      <c r="Z213" s="1">
        <v>1</v>
      </c>
      <c r="AA213" s="1" t="s">
        <v>96</v>
      </c>
      <c r="AC213" s="1">
        <v>5</v>
      </c>
      <c r="AD213" s="1" t="s">
        <v>242</v>
      </c>
      <c r="AE213" s="1" t="s">
        <v>241</v>
      </c>
      <c r="AF213" s="1">
        <v>1</v>
      </c>
      <c r="AG213" s="1">
        <v>1</v>
      </c>
      <c r="AH213" s="1">
        <v>1</v>
      </c>
      <c r="AI213" s="3">
        <v>43243</v>
      </c>
      <c r="AJ213" s="3">
        <v>43280</v>
      </c>
      <c r="AK213" s="6" t="s">
        <v>240</v>
      </c>
      <c r="AL213" s="6" t="s">
        <v>172</v>
      </c>
      <c r="AM213" s="1">
        <v>1</v>
      </c>
      <c r="AN213" s="1">
        <v>1</v>
      </c>
      <c r="AO213" s="1">
        <v>1</v>
      </c>
      <c r="AP213" s="1">
        <v>0</v>
      </c>
      <c r="AQ213" s="1">
        <v>0</v>
      </c>
      <c r="AR213" s="1">
        <v>0</v>
      </c>
      <c r="AS213" s="1"/>
      <c r="AT213" s="1"/>
      <c r="AU213" s="1">
        <v>2</v>
      </c>
      <c r="AV213" s="1">
        <v>0.5</v>
      </c>
      <c r="AW213" s="1"/>
      <c r="AX213" s="6" t="s">
        <v>45</v>
      </c>
      <c r="AY213" s="6" t="s">
        <v>45</v>
      </c>
      <c r="AZ213" s="6" t="s">
        <v>46</v>
      </c>
      <c r="BA213" s="6"/>
      <c r="BB213" s="6"/>
      <c r="BC213" s="6"/>
      <c r="BD213" s="6"/>
      <c r="BE213" s="6"/>
      <c r="BF213" s="6" t="s">
        <v>239</v>
      </c>
      <c r="BG213" s="1">
        <v>45</v>
      </c>
      <c r="BH213" s="1">
        <v>45</v>
      </c>
      <c r="BI213" s="1">
        <v>0</v>
      </c>
      <c r="BJ213" s="1">
        <v>0</v>
      </c>
      <c r="BK213" s="1">
        <f>BH213+BI213</f>
        <v>45</v>
      </c>
      <c r="BL213" s="1">
        <v>25</v>
      </c>
      <c r="BM213" s="1">
        <v>1.8</v>
      </c>
      <c r="BN213" s="1" t="s">
        <v>62</v>
      </c>
      <c r="BO213" s="1">
        <v>1</v>
      </c>
      <c r="BP213" s="1">
        <v>1</v>
      </c>
      <c r="BQ213" s="1">
        <v>1</v>
      </c>
      <c r="BR213" s="3">
        <v>43243</v>
      </c>
      <c r="BS213" s="1" t="s">
        <v>61</v>
      </c>
      <c r="BT213" s="12" t="s">
        <v>60</v>
      </c>
      <c r="BU213" s="1">
        <v>5</v>
      </c>
      <c r="BV213" s="1">
        <v>1</v>
      </c>
      <c r="BW213" s="1">
        <v>7.8</v>
      </c>
      <c r="BZ213" s="1">
        <v>14.3</v>
      </c>
      <c r="CA213" s="1">
        <v>246</v>
      </c>
      <c r="CB213" s="1">
        <v>1.54</v>
      </c>
      <c r="CE213" s="1">
        <v>0</v>
      </c>
      <c r="CF213" s="1" t="s">
        <v>45</v>
      </c>
      <c r="CH213" s="1" t="s">
        <v>45</v>
      </c>
      <c r="CI213" s="1" t="s">
        <v>45</v>
      </c>
      <c r="CJ213" s="1" t="s">
        <v>45</v>
      </c>
      <c r="CK213" s="1" t="s">
        <v>45</v>
      </c>
      <c r="CL213" s="1" t="s">
        <v>45</v>
      </c>
      <c r="CM213" s="1" t="s">
        <v>45</v>
      </c>
      <c r="CO213" s="1" t="s">
        <v>45</v>
      </c>
      <c r="CQ213" s="1" t="s">
        <v>45</v>
      </c>
      <c r="CR213" s="1" t="s">
        <v>45</v>
      </c>
      <c r="CS213" s="1" t="s">
        <v>45</v>
      </c>
      <c r="CT213" s="1" t="s">
        <v>45</v>
      </c>
      <c r="CU213" s="1" t="s">
        <v>45</v>
      </c>
      <c r="CV213" s="1" t="s">
        <v>45</v>
      </c>
      <c r="CW213" s="1" t="s">
        <v>45</v>
      </c>
      <c r="CX213" s="1" t="s">
        <v>45</v>
      </c>
      <c r="CY213" s="1" t="s">
        <v>45</v>
      </c>
      <c r="CZ213" s="1" t="s">
        <v>45</v>
      </c>
      <c r="DA213" s="1" t="s">
        <v>45</v>
      </c>
      <c r="DB213" s="2" t="s">
        <v>45</v>
      </c>
      <c r="DC213" s="1" t="s">
        <v>45</v>
      </c>
      <c r="DD213" s="1" t="s">
        <v>45</v>
      </c>
      <c r="DE213" s="1" t="s">
        <v>45</v>
      </c>
      <c r="DF213" s="1" t="s">
        <v>45</v>
      </c>
      <c r="DG213" s="1" t="s">
        <v>45</v>
      </c>
      <c r="DH213" s="7">
        <v>0</v>
      </c>
      <c r="DI213" s="7">
        <v>0</v>
      </c>
      <c r="DJ213" s="3">
        <v>43992</v>
      </c>
      <c r="DK213" s="1" t="s">
        <v>88</v>
      </c>
      <c r="DL213" s="12">
        <f>(DJ213-I213)/365.25*12</f>
        <v>24.607802874743324</v>
      </c>
      <c r="DM213" s="1">
        <v>1</v>
      </c>
      <c r="DN213" s="1" t="s">
        <v>238</v>
      </c>
      <c r="DO213" s="3">
        <v>43341</v>
      </c>
      <c r="DP213" s="6" t="s">
        <v>237</v>
      </c>
      <c r="DQ213" s="7">
        <v>1</v>
      </c>
      <c r="DR213" s="3">
        <v>43341</v>
      </c>
      <c r="DS213" s="10">
        <f>IF(DQ213=1, (DR213-$I213)/365.25*12, IF(DQ213=0, $DL213, "ERROR"))</f>
        <v>3.2197125256673509</v>
      </c>
      <c r="DT213" s="7">
        <v>1</v>
      </c>
      <c r="DU213" s="7">
        <v>0</v>
      </c>
      <c r="DV213" s="7">
        <v>1</v>
      </c>
      <c r="DW213" s="16">
        <f>DU213*(1-DV213)</f>
        <v>0</v>
      </c>
      <c r="DX213" s="16">
        <f>(1-DU213)*DV213</f>
        <v>1</v>
      </c>
      <c r="DY213" s="16">
        <f>DU213*DV213</f>
        <v>0</v>
      </c>
      <c r="DZ213" s="3">
        <v>43341</v>
      </c>
      <c r="EA213" s="10">
        <f>IF(DT213=1, (DZ213-$I213)/365.25*12, IF(DT213=0, $DL213, "ERROR"))</f>
        <v>3.2197125256673509</v>
      </c>
      <c r="EB213" s="7">
        <v>0</v>
      </c>
      <c r="EC213" s="7">
        <v>1</v>
      </c>
      <c r="ED213" s="16">
        <f>1-((1-DQ213)*(1-DT213))</f>
        <v>1</v>
      </c>
      <c r="EE213" s="11">
        <f>MIN(DR213,DZ213)</f>
        <v>43341</v>
      </c>
      <c r="EF213" s="1" t="s">
        <v>236</v>
      </c>
      <c r="EG213" s="7" t="s">
        <v>49</v>
      </c>
      <c r="EH213" s="1" t="s">
        <v>235</v>
      </c>
      <c r="EI213" s="1">
        <v>1</v>
      </c>
      <c r="EJ213" s="16">
        <f>(1-DQ213)*DX213*(1-EI213)</f>
        <v>0</v>
      </c>
      <c r="EK213" s="3">
        <v>43616</v>
      </c>
      <c r="EL213" s="10">
        <f>IF(EI213=1, (EK213-$I213)/365.25*12, IF(EI213=0, $DL213, "ERROR"))</f>
        <v>12.254620123203285</v>
      </c>
      <c r="EM213" s="1" t="s">
        <v>234</v>
      </c>
      <c r="EN213" s="1"/>
      <c r="EO213" s="1"/>
      <c r="EP213" s="1"/>
      <c r="EQ213" s="1"/>
      <c r="ER213" s="1"/>
      <c r="ES213" s="1"/>
      <c r="ET213" s="1"/>
      <c r="EU213" s="1"/>
      <c r="EV213" s="1"/>
      <c r="EW213" s="1"/>
      <c r="EX213" s="7">
        <v>0</v>
      </c>
      <c r="FB213" s="1" t="s">
        <v>45</v>
      </c>
      <c r="FC213" s="1">
        <v>1</v>
      </c>
      <c r="FD213" s="1">
        <v>1</v>
      </c>
      <c r="FF213" s="3">
        <v>44020</v>
      </c>
      <c r="FG213" s="3">
        <f>IF(FC213=1, FF213, IF(FD213=1, 44348, DJ213))</f>
        <v>44020</v>
      </c>
      <c r="FH213" s="13">
        <f>(FG213-I213)/365.25*12</f>
        <v>25.527720739219717</v>
      </c>
      <c r="FI213" s="13"/>
      <c r="FJ213" s="14">
        <f>IF(OR(DM213,FC213), 1, 0)</f>
        <v>1</v>
      </c>
      <c r="FK213" s="11">
        <f>IF(DM213=1,IF(FC213=1,MIN(DO213,FF213),DO213),IF(FC213=1,FF213,DJ213))</f>
        <v>43341</v>
      </c>
      <c r="FL213" s="13">
        <f>(FK213-$I213)/365.25*12</f>
        <v>3.2197125256673509</v>
      </c>
      <c r="FM213" s="14">
        <f>IF(OR(ED213,FC213), 1, 0)</f>
        <v>1</v>
      </c>
      <c r="FN213" s="11">
        <f>IF(ED213=1,IF(FC213=1,MIN(EE213,FF213),EE213),IF(FC213=1,FF213,DJ213))</f>
        <v>43341</v>
      </c>
      <c r="FO213" s="13">
        <f>(FN213-$I213)/365.25*12</f>
        <v>3.2197125256673509</v>
      </c>
      <c r="FP213" s="14">
        <f>IF(OR(EI213,FC213), 1, 0)</f>
        <v>1</v>
      </c>
      <c r="FQ213" s="11">
        <f>IF(EI213=1,IF(FC213=1,MIN(EK213,FF213),EK213),IF(FC213=1,FF213,DJ213))</f>
        <v>43616</v>
      </c>
      <c r="FR213" s="13">
        <f>(FQ213-$I213)/365.25*12</f>
        <v>12.254620123203285</v>
      </c>
      <c r="FU213" s="1">
        <v>0</v>
      </c>
      <c r="FV213" s="1">
        <v>0</v>
      </c>
      <c r="FW213" s="1">
        <v>0</v>
      </c>
      <c r="FX213" s="1">
        <v>0</v>
      </c>
    </row>
    <row r="214" spans="1:180" ht="12.75" hidden="1" customHeight="1">
      <c r="A214" s="1" t="s">
        <v>233</v>
      </c>
      <c r="B214" s="15" t="s">
        <v>232</v>
      </c>
      <c r="C214" s="1">
        <v>34104107</v>
      </c>
      <c r="D214" s="1">
        <v>1</v>
      </c>
      <c r="E214" s="1">
        <v>1</v>
      </c>
      <c r="G214" s="12">
        <v>1</v>
      </c>
      <c r="H214" s="1" t="s">
        <v>231</v>
      </c>
      <c r="I214" s="3">
        <v>43255</v>
      </c>
      <c r="J214" s="3">
        <v>43216</v>
      </c>
      <c r="K214" s="3">
        <v>15503</v>
      </c>
      <c r="L214" s="5">
        <f>(DAYS360(K214,I214))/365</f>
        <v>74.939726027397256</v>
      </c>
      <c r="M214" s="1" t="s">
        <v>5</v>
      </c>
      <c r="N214" s="1">
        <v>1</v>
      </c>
      <c r="O214" s="1">
        <v>0</v>
      </c>
      <c r="P214" s="1" t="s">
        <v>45</v>
      </c>
      <c r="R214" s="1" t="s">
        <v>209</v>
      </c>
      <c r="S214" s="1" t="s">
        <v>230</v>
      </c>
      <c r="T214" s="1" t="s">
        <v>67</v>
      </c>
      <c r="U214" s="1">
        <v>0</v>
      </c>
      <c r="V214" s="1">
        <v>0</v>
      </c>
      <c r="W214" s="1">
        <v>1</v>
      </c>
      <c r="X214" s="1" t="s">
        <v>229</v>
      </c>
      <c r="Y214" s="1">
        <v>1</v>
      </c>
      <c r="Z214" s="1">
        <v>1</v>
      </c>
      <c r="AA214" s="1" t="s">
        <v>228</v>
      </c>
      <c r="AC214" s="1">
        <v>1</v>
      </c>
      <c r="AD214" s="1" t="s">
        <v>227</v>
      </c>
      <c r="AE214" s="1" t="s">
        <v>125</v>
      </c>
      <c r="AF214" s="1">
        <v>0</v>
      </c>
      <c r="AH214" s="1">
        <v>0</v>
      </c>
      <c r="AI214" s="3">
        <v>43255</v>
      </c>
      <c r="AJ214" s="3">
        <v>43318</v>
      </c>
      <c r="BA214" s="6"/>
      <c r="BB214" s="6"/>
      <c r="BC214" s="6"/>
      <c r="BD214" s="6"/>
      <c r="BE214" s="6"/>
      <c r="BP214" s="1">
        <v>0</v>
      </c>
      <c r="DS214" s="3"/>
      <c r="EI214" s="7"/>
      <c r="EN214" s="1"/>
      <c r="EO214" s="1"/>
      <c r="EP214" s="1"/>
      <c r="EQ214" s="1"/>
      <c r="ER214" s="1"/>
      <c r="ES214" s="1"/>
      <c r="ET214" s="1"/>
      <c r="EU214" s="1"/>
      <c r="EV214" s="1"/>
      <c r="EW214" s="1"/>
      <c r="FC214" s="1">
        <v>1</v>
      </c>
      <c r="FD214" s="1">
        <v>1</v>
      </c>
      <c r="FF214" s="3">
        <v>43465</v>
      </c>
      <c r="FG214" s="3">
        <f>IF(FC214=1, FF214, IF(FD214=1, 44348, DJ214))</f>
        <v>43465</v>
      </c>
      <c r="FH214" s="13">
        <f>(FG214-I214)/365.25*12</f>
        <v>6.8993839835728945</v>
      </c>
      <c r="FI214" s="13"/>
      <c r="FJ214" s="14"/>
      <c r="FK214" s="11"/>
      <c r="FL214" s="13"/>
      <c r="FM214" s="14"/>
      <c r="FN214" s="11"/>
      <c r="FO214" s="13"/>
      <c r="FP214" s="14"/>
      <c r="FQ214" s="11"/>
      <c r="FR214" s="13"/>
    </row>
    <row r="215" spans="1:180" ht="12.75" hidden="1" customHeight="1">
      <c r="A215" s="1" t="s">
        <v>226</v>
      </c>
      <c r="B215" s="15" t="s">
        <v>225</v>
      </c>
      <c r="C215" s="1">
        <v>51733050</v>
      </c>
      <c r="D215" s="1">
        <v>1</v>
      </c>
      <c r="E215" s="1">
        <v>1</v>
      </c>
      <c r="G215" s="12">
        <v>1</v>
      </c>
      <c r="H215" s="1" t="s">
        <v>224</v>
      </c>
      <c r="I215" s="3">
        <v>43454</v>
      </c>
      <c r="J215" s="3">
        <v>43451</v>
      </c>
      <c r="K215" s="3">
        <v>18203</v>
      </c>
      <c r="L215" s="5">
        <f>(DAYS360(K215,I215))/365</f>
        <v>68.189041095890417</v>
      </c>
      <c r="M215" s="1" t="s">
        <v>1</v>
      </c>
      <c r="N215" s="1">
        <v>1</v>
      </c>
      <c r="O215" s="1">
        <v>0</v>
      </c>
      <c r="P215" s="1" t="s">
        <v>69</v>
      </c>
      <c r="R215" s="1" t="s">
        <v>223</v>
      </c>
      <c r="AI215" s="3">
        <v>43454</v>
      </c>
      <c r="AJ215" s="3">
        <v>43497</v>
      </c>
      <c r="BA215" s="6"/>
      <c r="BB215" s="6"/>
      <c r="BC215" s="6"/>
      <c r="BD215" s="6"/>
      <c r="BE215" s="6"/>
      <c r="DS215" s="3"/>
      <c r="EI215" s="7"/>
      <c r="EN215" s="1"/>
      <c r="EO215" s="1"/>
      <c r="EP215" s="1"/>
      <c r="EQ215" s="1"/>
      <c r="ER215" s="1"/>
      <c r="ES215" s="1"/>
      <c r="ET215" s="1"/>
      <c r="EU215" s="1"/>
      <c r="EV215" s="1"/>
      <c r="EW215" s="1"/>
      <c r="FC215" s="1">
        <v>1</v>
      </c>
      <c r="FD215" s="1">
        <v>1</v>
      </c>
      <c r="FF215" s="3">
        <v>44300</v>
      </c>
      <c r="FG215" s="3">
        <f>IF(FC215=1, FF215, IF(FD215=1, 44348, DJ215))</f>
        <v>44300</v>
      </c>
      <c r="FH215" s="13">
        <f>(FG215-I215)/365.25*12</f>
        <v>27.794661190965094</v>
      </c>
      <c r="FI215" s="13"/>
      <c r="FJ215" s="14"/>
      <c r="FK215" s="11"/>
      <c r="FL215" s="13"/>
      <c r="FM215" s="14"/>
      <c r="FN215" s="11"/>
      <c r="FO215" s="13"/>
      <c r="FP215" s="14"/>
      <c r="FQ215" s="11"/>
      <c r="FR215" s="13"/>
    </row>
    <row r="216" spans="1:180" ht="12.75" hidden="1" customHeight="1">
      <c r="A216" s="1" t="s">
        <v>222</v>
      </c>
      <c r="B216" s="15" t="s">
        <v>221</v>
      </c>
      <c r="C216" s="1">
        <v>36504330</v>
      </c>
      <c r="D216" s="1">
        <v>1</v>
      </c>
      <c r="E216" s="1">
        <v>1</v>
      </c>
      <c r="G216" s="12">
        <v>1</v>
      </c>
      <c r="H216" s="1" t="s">
        <v>220</v>
      </c>
      <c r="I216" s="3">
        <v>40962</v>
      </c>
      <c r="J216" s="3">
        <v>40945</v>
      </c>
      <c r="K216" s="3">
        <v>18321</v>
      </c>
      <c r="L216" s="5">
        <f>(DAYS360(K216,I216))/365</f>
        <v>61.139726027397259</v>
      </c>
      <c r="M216" s="1" t="s">
        <v>5</v>
      </c>
      <c r="N216" s="1">
        <v>0</v>
      </c>
      <c r="O216" s="1">
        <v>0</v>
      </c>
      <c r="P216" s="1" t="s">
        <v>45</v>
      </c>
      <c r="R216" s="1" t="s">
        <v>209</v>
      </c>
      <c r="AI216" s="3">
        <v>40962</v>
      </c>
      <c r="AJ216" s="3">
        <v>40991</v>
      </c>
      <c r="BA216" s="6"/>
      <c r="BB216" s="6"/>
      <c r="BC216" s="6"/>
      <c r="BD216" s="6"/>
      <c r="BE216" s="6"/>
      <c r="BG216" s="1">
        <v>37.799999999999997</v>
      </c>
      <c r="BH216" s="1">
        <v>37.799999999999997</v>
      </c>
      <c r="BI216" s="1">
        <v>0</v>
      </c>
      <c r="BJ216" s="1">
        <v>0</v>
      </c>
      <c r="BK216" s="1">
        <f>BH216+BI216</f>
        <v>37.799999999999997</v>
      </c>
      <c r="BL216" s="1">
        <v>21</v>
      </c>
      <c r="BM216" s="1">
        <v>1.8</v>
      </c>
      <c r="DS216" s="3"/>
      <c r="EI216" s="7"/>
      <c r="EN216" s="1"/>
      <c r="EO216" s="1"/>
      <c r="EP216" s="1"/>
      <c r="EQ216" s="1"/>
      <c r="ER216" s="1"/>
      <c r="ES216" s="1"/>
      <c r="ET216" s="1"/>
      <c r="EU216" s="1"/>
      <c r="EV216" s="1"/>
      <c r="EW216" s="1"/>
      <c r="FC216" s="1">
        <v>1</v>
      </c>
      <c r="FD216" s="1">
        <v>1</v>
      </c>
      <c r="FF216" s="3">
        <v>41166</v>
      </c>
      <c r="FG216" s="3">
        <f>IF(FC216=1, FF216, IF(FD216=1, 44348, DJ216))</f>
        <v>41166</v>
      </c>
      <c r="FH216" s="13">
        <f>(FG216-I216)/365.25*12</f>
        <v>6.7022587268993838</v>
      </c>
      <c r="FI216" s="13"/>
      <c r="FJ216" s="14"/>
      <c r="FK216" s="11"/>
      <c r="FL216" s="13"/>
      <c r="FM216" s="14"/>
      <c r="FN216" s="11"/>
      <c r="FO216" s="13"/>
      <c r="FP216" s="14"/>
      <c r="FQ216" s="11"/>
      <c r="FR216" s="13"/>
    </row>
    <row r="217" spans="1:180" ht="12.75" hidden="1" customHeight="1">
      <c r="A217" s="1" t="s">
        <v>219</v>
      </c>
      <c r="B217" s="15" t="s">
        <v>218</v>
      </c>
      <c r="C217" s="1">
        <v>46400598</v>
      </c>
      <c r="D217" s="1">
        <v>1</v>
      </c>
      <c r="E217" s="1">
        <v>1</v>
      </c>
      <c r="G217" s="12">
        <v>1</v>
      </c>
      <c r="H217" s="1" t="s">
        <v>217</v>
      </c>
      <c r="I217" s="3">
        <v>42040</v>
      </c>
      <c r="J217" s="3">
        <v>41989</v>
      </c>
      <c r="K217" s="3">
        <v>16184</v>
      </c>
      <c r="L217" s="5">
        <f>(DAYS360(K217,I217))/365</f>
        <v>69.816438356164383</v>
      </c>
      <c r="M217" s="1" t="s">
        <v>5</v>
      </c>
      <c r="O217" s="1">
        <v>0</v>
      </c>
      <c r="P217" s="1" t="s">
        <v>69</v>
      </c>
      <c r="R217" s="1" t="s">
        <v>216</v>
      </c>
      <c r="AI217" s="3">
        <v>42093</v>
      </c>
      <c r="AJ217" s="3">
        <v>42135</v>
      </c>
      <c r="BA217" s="6"/>
      <c r="BB217" s="6"/>
      <c r="BC217" s="6"/>
      <c r="BD217" s="6"/>
      <c r="BE217" s="6"/>
      <c r="DS217" s="3"/>
      <c r="EI217" s="7"/>
      <c r="EN217" s="1"/>
      <c r="EO217" s="1"/>
      <c r="EP217" s="1"/>
      <c r="EQ217" s="1"/>
      <c r="ER217" s="1"/>
      <c r="ES217" s="1"/>
      <c r="ET217" s="1"/>
      <c r="EU217" s="1"/>
      <c r="EV217" s="1"/>
      <c r="EW217" s="1"/>
      <c r="FC217" s="1">
        <v>1</v>
      </c>
      <c r="FD217" s="1">
        <v>1</v>
      </c>
      <c r="FF217" s="3">
        <v>43399</v>
      </c>
      <c r="FG217" s="3">
        <f>IF(FC217=1, FF217, IF(FD217=1, 44348, DJ217))</f>
        <v>43399</v>
      </c>
      <c r="FH217" s="13">
        <f>(FG217-I217)/365.25*12</f>
        <v>44.648870636550306</v>
      </c>
      <c r="FI217" s="13"/>
      <c r="FJ217" s="14"/>
      <c r="FK217" s="11"/>
      <c r="FL217" s="13"/>
      <c r="FM217" s="14"/>
      <c r="FN217" s="11"/>
      <c r="FO217" s="13"/>
      <c r="FP217" s="14"/>
      <c r="FQ217" s="11"/>
      <c r="FR217" s="13"/>
    </row>
    <row r="218" spans="1:180" ht="12.75" hidden="1" customHeight="1">
      <c r="A218" s="1" t="s">
        <v>215</v>
      </c>
      <c r="B218" s="15" t="s">
        <v>214</v>
      </c>
      <c r="C218" s="1">
        <v>38359411</v>
      </c>
      <c r="D218" s="1">
        <v>1</v>
      </c>
      <c r="E218" s="1">
        <v>1</v>
      </c>
      <c r="G218" s="12">
        <v>1</v>
      </c>
      <c r="H218" s="1" t="s">
        <v>213</v>
      </c>
      <c r="I218" s="3">
        <v>39792</v>
      </c>
      <c r="J218" s="3">
        <v>39776</v>
      </c>
      <c r="K218" s="3">
        <v>20965</v>
      </c>
      <c r="L218" s="5">
        <f>(DAYS360(K218,I218))/365</f>
        <v>50.835616438356162</v>
      </c>
      <c r="M218" s="1" t="s">
        <v>5</v>
      </c>
      <c r="N218" s="1">
        <v>2</v>
      </c>
      <c r="O218" s="1">
        <v>0</v>
      </c>
      <c r="P218" s="1" t="s">
        <v>45</v>
      </c>
      <c r="R218" s="1" t="s">
        <v>192</v>
      </c>
      <c r="AI218" s="3">
        <v>39792</v>
      </c>
      <c r="AJ218" s="3">
        <v>39843</v>
      </c>
      <c r="BA218" s="6"/>
      <c r="BB218" s="6"/>
      <c r="BC218" s="6"/>
      <c r="BD218" s="6"/>
      <c r="BE218" s="6"/>
      <c r="DS218" s="3"/>
      <c r="EI218" s="7"/>
      <c r="EN218" s="1"/>
      <c r="EO218" s="1"/>
      <c r="EP218" s="1"/>
      <c r="EQ218" s="1"/>
      <c r="ER218" s="1"/>
      <c r="ES218" s="1"/>
      <c r="ET218" s="1"/>
      <c r="EU218" s="1"/>
      <c r="EV218" s="1"/>
      <c r="EW218" s="1"/>
      <c r="FC218" s="1">
        <v>1</v>
      </c>
      <c r="FD218" s="1">
        <v>1</v>
      </c>
      <c r="FF218" s="3">
        <v>40701</v>
      </c>
      <c r="FG218" s="3">
        <f>IF(FC218=1, FF218, IF(FD218=1, 44348, DJ218))</f>
        <v>40701</v>
      </c>
      <c r="FH218" s="13">
        <f>(FG218-I218)/365.25*12</f>
        <v>29.864476386036959</v>
      </c>
      <c r="FI218" s="13"/>
      <c r="FJ218" s="14"/>
      <c r="FK218" s="11"/>
      <c r="FL218" s="13"/>
      <c r="FM218" s="14"/>
      <c r="FN218" s="11"/>
      <c r="FO218" s="13"/>
      <c r="FP218" s="14"/>
      <c r="FQ218" s="11"/>
      <c r="FR218" s="13"/>
    </row>
    <row r="219" spans="1:180" ht="12.75" hidden="1" customHeight="1">
      <c r="A219" s="1" t="s">
        <v>212</v>
      </c>
      <c r="B219" s="15" t="s">
        <v>211</v>
      </c>
      <c r="C219" s="1">
        <v>37849694</v>
      </c>
      <c r="D219" s="1">
        <v>1</v>
      </c>
      <c r="E219" s="1">
        <v>1</v>
      </c>
      <c r="G219" s="12">
        <v>1</v>
      </c>
      <c r="H219" s="1" t="s">
        <v>210</v>
      </c>
      <c r="I219" s="3">
        <v>40287</v>
      </c>
      <c r="J219" s="3">
        <v>40234</v>
      </c>
      <c r="K219" s="3">
        <v>13115</v>
      </c>
      <c r="L219" s="5">
        <f>(DAYS360(K219,I219))/365</f>
        <v>73.37534246575342</v>
      </c>
      <c r="M219" s="1" t="s">
        <v>5</v>
      </c>
      <c r="O219" s="1">
        <v>0</v>
      </c>
      <c r="P219" s="1" t="s">
        <v>45</v>
      </c>
      <c r="R219" s="1" t="s">
        <v>209</v>
      </c>
      <c r="AI219" s="3">
        <v>40287</v>
      </c>
      <c r="AJ219" s="3">
        <v>40304</v>
      </c>
      <c r="BA219" s="6"/>
      <c r="BB219" s="6"/>
      <c r="BC219" s="6"/>
      <c r="BD219" s="6"/>
      <c r="BE219" s="6"/>
      <c r="DS219" s="3"/>
      <c r="EI219" s="7"/>
      <c r="EN219" s="1"/>
      <c r="EO219" s="1"/>
      <c r="EP219" s="1"/>
      <c r="EQ219" s="1"/>
      <c r="ER219" s="1"/>
      <c r="ES219" s="1"/>
      <c r="ET219" s="1"/>
      <c r="EU219" s="1"/>
      <c r="EV219" s="1"/>
      <c r="EW219" s="1"/>
      <c r="FC219" s="1">
        <v>1</v>
      </c>
      <c r="FD219" s="1">
        <v>1</v>
      </c>
      <c r="FF219" s="3">
        <v>40322</v>
      </c>
      <c r="FG219" s="3">
        <f>IF(FC219=1, FF219, IF(FD219=1, 44348, DJ219))</f>
        <v>40322</v>
      </c>
      <c r="FH219" s="13">
        <f>(FG219-I219)/365.25*12</f>
        <v>1.1498973305954825</v>
      </c>
      <c r="FI219" s="13"/>
      <c r="FJ219" s="14"/>
      <c r="FK219" s="11"/>
      <c r="FL219" s="13"/>
      <c r="FM219" s="14"/>
      <c r="FN219" s="11"/>
      <c r="FO219" s="13"/>
      <c r="FP219" s="14"/>
      <c r="FQ219" s="11"/>
      <c r="FR219" s="13"/>
    </row>
    <row r="220" spans="1:180" ht="12.75" hidden="1" customHeight="1">
      <c r="A220" s="1" t="s">
        <v>208</v>
      </c>
      <c r="B220" s="15" t="s">
        <v>207</v>
      </c>
      <c r="C220" s="1">
        <v>29777419</v>
      </c>
      <c r="D220" s="1">
        <v>1</v>
      </c>
      <c r="E220" s="1">
        <v>1</v>
      </c>
      <c r="G220" s="12">
        <v>1</v>
      </c>
      <c r="H220" s="1" t="s">
        <v>206</v>
      </c>
      <c r="I220" s="3">
        <v>40483</v>
      </c>
      <c r="J220" s="3">
        <v>40478</v>
      </c>
      <c r="K220" s="3">
        <v>13384</v>
      </c>
      <c r="L220" s="5">
        <f>(DAYS360(K220,I220))/365</f>
        <v>73.175342465753431</v>
      </c>
      <c r="M220" s="1" t="s">
        <v>5</v>
      </c>
      <c r="O220" s="1">
        <v>0</v>
      </c>
      <c r="R220" s="1" t="s">
        <v>192</v>
      </c>
      <c r="AI220" s="3">
        <v>40483</v>
      </c>
      <c r="AJ220" s="3">
        <v>40529</v>
      </c>
      <c r="BA220" s="6"/>
      <c r="BB220" s="6"/>
      <c r="BC220" s="6"/>
      <c r="BD220" s="6"/>
      <c r="BE220" s="6"/>
      <c r="DS220" s="3"/>
      <c r="EI220" s="7"/>
      <c r="EN220" s="1"/>
      <c r="EO220" s="1"/>
      <c r="EP220" s="1"/>
      <c r="EQ220" s="1"/>
      <c r="ER220" s="1"/>
      <c r="ES220" s="1"/>
      <c r="ET220" s="1"/>
      <c r="EU220" s="1"/>
      <c r="EV220" s="1"/>
      <c r="EW220" s="1"/>
      <c r="FC220" s="1">
        <v>1</v>
      </c>
      <c r="FD220" s="1">
        <v>1</v>
      </c>
      <c r="FF220" s="3">
        <v>41033</v>
      </c>
      <c r="FG220" s="3">
        <f>IF(FC220=1, FF220, IF(FD220=1, 44348, DJ220))</f>
        <v>41033</v>
      </c>
      <c r="FH220" s="13">
        <f>(FG220-I220)/365.25*12</f>
        <v>18.069815195071868</v>
      </c>
      <c r="FI220" s="13"/>
      <c r="FJ220" s="14"/>
      <c r="FK220" s="11"/>
      <c r="FL220" s="13"/>
      <c r="FM220" s="14"/>
      <c r="FN220" s="11"/>
      <c r="FO220" s="13"/>
      <c r="FP220" s="14"/>
      <c r="FQ220" s="11"/>
      <c r="FR220" s="13"/>
    </row>
    <row r="221" spans="1:180" ht="12.75" hidden="1" customHeight="1">
      <c r="A221" s="1" t="s">
        <v>205</v>
      </c>
      <c r="B221" s="15" t="s">
        <v>204</v>
      </c>
      <c r="C221" s="1">
        <v>46793827</v>
      </c>
      <c r="D221" s="1">
        <v>1</v>
      </c>
      <c r="E221" s="1">
        <v>1</v>
      </c>
      <c r="G221" s="12">
        <v>1</v>
      </c>
      <c r="H221" s="1" t="s">
        <v>120</v>
      </c>
      <c r="I221" s="3">
        <v>42138</v>
      </c>
      <c r="J221" s="3">
        <v>42104</v>
      </c>
      <c r="K221" s="3">
        <v>14559</v>
      </c>
      <c r="L221" s="5">
        <f>(DAYS360(K221,I221))/365</f>
        <v>74.476712328767121</v>
      </c>
      <c r="M221" s="1" t="s">
        <v>5</v>
      </c>
      <c r="O221" s="1">
        <v>2</v>
      </c>
      <c r="R221" s="1" t="s">
        <v>18</v>
      </c>
      <c r="AI221" s="3">
        <v>42138</v>
      </c>
      <c r="AJ221" s="3">
        <v>42173</v>
      </c>
      <c r="BA221" s="6"/>
      <c r="BB221" s="6"/>
      <c r="BC221" s="6"/>
      <c r="BD221" s="6"/>
      <c r="BE221" s="6"/>
      <c r="DS221" s="3"/>
      <c r="EI221" s="7"/>
      <c r="EN221" s="1"/>
      <c r="EO221" s="1"/>
      <c r="EP221" s="1"/>
      <c r="EQ221" s="1"/>
      <c r="ER221" s="1"/>
      <c r="ES221" s="1"/>
      <c r="ET221" s="1"/>
      <c r="EU221" s="1"/>
      <c r="EV221" s="1"/>
      <c r="EW221" s="1"/>
      <c r="FC221" s="1">
        <v>0</v>
      </c>
      <c r="FD221" s="1">
        <v>1</v>
      </c>
      <c r="FF221" s="1" t="s">
        <v>45</v>
      </c>
      <c r="FG221" s="3">
        <f>IF(FC221=1, FF221, IF(FD221=1, 44348, DJ221))</f>
        <v>44348</v>
      </c>
      <c r="FH221" s="13">
        <f>(FG221-I221)/365.25*12</f>
        <v>72.607802874743328</v>
      </c>
      <c r="FI221" s="13"/>
      <c r="FJ221" s="14"/>
      <c r="FK221" s="11"/>
      <c r="FL221" s="13"/>
      <c r="FM221" s="13"/>
      <c r="FN221" s="11"/>
      <c r="FO221" s="13"/>
      <c r="FP221" s="14"/>
      <c r="FQ221" s="11"/>
      <c r="FR221" s="13"/>
    </row>
    <row r="222" spans="1:180" ht="12.75" hidden="1" customHeight="1">
      <c r="A222" s="1" t="s">
        <v>203</v>
      </c>
      <c r="B222" s="15" t="s">
        <v>202</v>
      </c>
      <c r="C222" s="1">
        <v>46502449</v>
      </c>
      <c r="D222" s="1">
        <v>1</v>
      </c>
      <c r="E222" s="1">
        <v>1</v>
      </c>
      <c r="G222" s="12">
        <v>1</v>
      </c>
      <c r="H222" s="1" t="s">
        <v>201</v>
      </c>
      <c r="I222" s="3">
        <v>42040</v>
      </c>
      <c r="J222" s="3">
        <v>42017</v>
      </c>
      <c r="K222" s="3">
        <v>22278</v>
      </c>
      <c r="L222" s="5">
        <f>(DAYS360(K222,I222))/365</f>
        <v>53.361643835616441</v>
      </c>
      <c r="M222" s="1" t="s">
        <v>5</v>
      </c>
      <c r="O222" s="1">
        <v>0</v>
      </c>
      <c r="P222" s="6" t="s">
        <v>69</v>
      </c>
      <c r="Q222" s="6"/>
      <c r="R222" s="1" t="s">
        <v>200</v>
      </c>
      <c r="AI222" s="3">
        <v>42040</v>
      </c>
      <c r="AJ222" s="3">
        <v>42086</v>
      </c>
      <c r="BA222" s="6"/>
      <c r="BB222" s="6"/>
      <c r="BC222" s="6"/>
      <c r="BD222" s="6"/>
      <c r="BE222" s="6"/>
      <c r="BG222" s="1">
        <v>45</v>
      </c>
      <c r="BH222" s="1">
        <v>45</v>
      </c>
      <c r="BI222" s="1">
        <v>9</v>
      </c>
      <c r="BJ222" s="1">
        <v>1</v>
      </c>
      <c r="BK222" s="1">
        <f>BH222+BI222</f>
        <v>54</v>
      </c>
      <c r="BL222" s="1">
        <v>30</v>
      </c>
      <c r="BM222" s="1">
        <v>1.8</v>
      </c>
      <c r="DS222" s="3"/>
      <c r="EI222" s="7"/>
      <c r="EN222" s="1"/>
      <c r="EO222" s="1"/>
      <c r="EP222" s="1"/>
      <c r="EQ222" s="1"/>
      <c r="ER222" s="1"/>
      <c r="ES222" s="1"/>
      <c r="ET222" s="1"/>
      <c r="EU222" s="1"/>
      <c r="EV222" s="1"/>
      <c r="EW222" s="1"/>
      <c r="FC222" s="1">
        <v>1</v>
      </c>
      <c r="FD222" s="1">
        <v>1</v>
      </c>
      <c r="FF222" s="3">
        <v>42443</v>
      </c>
      <c r="FG222" s="3">
        <f>IF(FC222=1, FF222, IF(FD222=1, 44348, DJ222))</f>
        <v>42443</v>
      </c>
      <c r="FH222" s="13">
        <f>(FG222-I222)/365.25*12</f>
        <v>13.240246406570844</v>
      </c>
      <c r="FI222" s="13"/>
      <c r="FJ222" s="14"/>
      <c r="FK222" s="11"/>
      <c r="FL222" s="13"/>
      <c r="FM222" s="14"/>
      <c r="FN222" s="11"/>
      <c r="FO222" s="13"/>
      <c r="FP222" s="14"/>
      <c r="FQ222" s="11"/>
      <c r="FR222" s="13"/>
    </row>
    <row r="223" spans="1:180" ht="12.75" hidden="1" customHeight="1">
      <c r="A223" s="1" t="s">
        <v>199</v>
      </c>
      <c r="B223" s="15" t="s">
        <v>198</v>
      </c>
      <c r="C223" s="1">
        <v>42048138</v>
      </c>
      <c r="D223" s="1">
        <v>1</v>
      </c>
      <c r="E223" s="1">
        <v>1</v>
      </c>
      <c r="G223" s="12">
        <v>1</v>
      </c>
      <c r="H223" s="1" t="s">
        <v>197</v>
      </c>
      <c r="I223" s="3">
        <v>40801</v>
      </c>
      <c r="J223" s="3">
        <v>40774</v>
      </c>
      <c r="K223" s="3">
        <v>24507</v>
      </c>
      <c r="L223" s="5">
        <f>(DAYS360(K223,I223))/365</f>
        <v>44.0027397260274</v>
      </c>
      <c r="M223" s="1" t="s">
        <v>1</v>
      </c>
      <c r="O223" s="1">
        <v>0</v>
      </c>
      <c r="P223" s="1" t="s">
        <v>69</v>
      </c>
      <c r="R223" s="1" t="s">
        <v>196</v>
      </c>
      <c r="S223" s="1">
        <v>22</v>
      </c>
      <c r="AI223" s="3">
        <v>40801</v>
      </c>
      <c r="AJ223" s="3">
        <v>40850</v>
      </c>
      <c r="BA223" s="6"/>
      <c r="BB223" s="6"/>
      <c r="BC223" s="6"/>
      <c r="BD223" s="6"/>
      <c r="BE223" s="6"/>
      <c r="DS223" s="3"/>
      <c r="EI223" s="7"/>
      <c r="EN223" s="1"/>
      <c r="EO223" s="1"/>
      <c r="EP223" s="1"/>
      <c r="EQ223" s="1"/>
      <c r="ER223" s="1"/>
      <c r="ES223" s="1"/>
      <c r="ET223" s="1"/>
      <c r="EU223" s="1"/>
      <c r="EV223" s="1"/>
      <c r="EW223" s="1"/>
      <c r="FC223" s="1">
        <v>1</v>
      </c>
      <c r="FD223" s="1">
        <v>1</v>
      </c>
      <c r="FF223" s="3">
        <v>41410</v>
      </c>
      <c r="FG223" s="3">
        <f>IF(FC223=1, FF223, IF(FD223=1, 44348, DJ223))</f>
        <v>41410</v>
      </c>
      <c r="FH223" s="13">
        <f>(FG223-I223)/365.25*12</f>
        <v>20.008213552361397</v>
      </c>
      <c r="FI223" s="13"/>
      <c r="FJ223" s="14"/>
      <c r="FK223" s="11"/>
      <c r="FL223" s="13"/>
      <c r="FM223" s="14"/>
      <c r="FN223" s="11"/>
      <c r="FO223" s="13"/>
      <c r="FP223" s="14"/>
      <c r="FQ223" s="11"/>
      <c r="FR223" s="13"/>
    </row>
    <row r="224" spans="1:180" ht="12.75" hidden="1" customHeight="1">
      <c r="A224" s="1" t="s">
        <v>195</v>
      </c>
      <c r="B224" s="15" t="s">
        <v>194</v>
      </c>
      <c r="C224" s="1">
        <v>42894975</v>
      </c>
      <c r="D224" s="1">
        <v>1</v>
      </c>
      <c r="E224" s="1">
        <v>1</v>
      </c>
      <c r="G224" s="12">
        <v>1</v>
      </c>
      <c r="H224" s="1" t="s">
        <v>193</v>
      </c>
      <c r="I224" s="3">
        <v>41024</v>
      </c>
      <c r="J224" s="3">
        <v>40996</v>
      </c>
      <c r="K224" s="3">
        <v>19866</v>
      </c>
      <c r="L224" s="5">
        <f>(DAYS360(K224,I224))/365</f>
        <v>57.131506849315066</v>
      </c>
      <c r="M224" s="1" t="s">
        <v>5</v>
      </c>
      <c r="N224" s="1">
        <v>1</v>
      </c>
      <c r="O224" s="1">
        <v>0</v>
      </c>
      <c r="P224" s="1" t="s">
        <v>45</v>
      </c>
      <c r="R224" s="1" t="s">
        <v>192</v>
      </c>
      <c r="AI224" s="3">
        <v>41024</v>
      </c>
      <c r="AJ224" s="3">
        <v>41078</v>
      </c>
      <c r="BA224" s="6"/>
      <c r="BB224" s="6"/>
      <c r="BC224" s="6"/>
      <c r="BD224" s="6"/>
      <c r="BE224" s="6"/>
      <c r="DS224" s="3"/>
      <c r="EI224" s="7"/>
      <c r="EN224" s="1"/>
      <c r="EO224" s="1"/>
      <c r="EP224" s="1"/>
      <c r="EQ224" s="1"/>
      <c r="ER224" s="1"/>
      <c r="ES224" s="1"/>
      <c r="ET224" s="1"/>
      <c r="EU224" s="1"/>
      <c r="EV224" s="1"/>
      <c r="EW224" s="1"/>
      <c r="FC224" s="1">
        <v>1</v>
      </c>
      <c r="FD224" s="1">
        <v>1</v>
      </c>
      <c r="FF224" s="3">
        <v>41226</v>
      </c>
      <c r="FG224" s="3">
        <f>IF(FC224=1, FF224, IF(FD224=1, 44348, DJ224))</f>
        <v>41226</v>
      </c>
      <c r="FH224" s="13">
        <f>(FG224-I224)/365.25*12</f>
        <v>6.6365503080082142</v>
      </c>
      <c r="FI224" s="13"/>
      <c r="FJ224" s="14"/>
      <c r="FK224" s="11"/>
      <c r="FL224" s="13"/>
      <c r="FM224" s="14"/>
      <c r="FN224" s="11"/>
      <c r="FO224" s="13"/>
      <c r="FP224" s="14"/>
      <c r="FQ224" s="11"/>
      <c r="FR224" s="13"/>
    </row>
    <row r="225" spans="1:180" ht="12.75" hidden="1" customHeight="1">
      <c r="A225" s="1" t="s">
        <v>191</v>
      </c>
      <c r="B225" s="15" t="s">
        <v>190</v>
      </c>
      <c r="C225" s="1">
        <v>48286123</v>
      </c>
      <c r="D225" s="1">
        <v>1</v>
      </c>
      <c r="E225" s="1">
        <v>1</v>
      </c>
      <c r="G225" s="12">
        <v>1</v>
      </c>
      <c r="H225" s="1" t="s">
        <v>189</v>
      </c>
      <c r="I225" s="3">
        <v>42548</v>
      </c>
      <c r="J225" s="3">
        <v>42529</v>
      </c>
      <c r="K225" s="3">
        <v>21474</v>
      </c>
      <c r="L225" s="5">
        <f>(DAYS360(K225,I225))/365</f>
        <v>56.906849315068492</v>
      </c>
      <c r="M225" s="1" t="s">
        <v>5</v>
      </c>
      <c r="N225" s="1">
        <v>1</v>
      </c>
      <c r="O225" s="1">
        <v>0</v>
      </c>
      <c r="P225" s="1" t="s">
        <v>81</v>
      </c>
      <c r="R225" s="1" t="s">
        <v>18</v>
      </c>
      <c r="S225" s="1" t="s">
        <v>188</v>
      </c>
      <c r="T225" s="1" t="s">
        <v>150</v>
      </c>
      <c r="U225" s="1">
        <v>0</v>
      </c>
      <c r="V225" s="1">
        <v>1</v>
      </c>
      <c r="W225" s="1">
        <v>1</v>
      </c>
      <c r="X225" s="1" t="s">
        <v>187</v>
      </c>
      <c r="Y225" s="1">
        <v>3</v>
      </c>
      <c r="Z225" s="1">
        <v>2</v>
      </c>
      <c r="AA225" s="1" t="s">
        <v>116</v>
      </c>
      <c r="AC225" s="1">
        <v>3</v>
      </c>
      <c r="AD225" s="1" t="s">
        <v>186</v>
      </c>
      <c r="AE225" s="1" t="s">
        <v>114</v>
      </c>
      <c r="AF225" s="1">
        <v>0</v>
      </c>
      <c r="AH225" s="1">
        <v>0</v>
      </c>
      <c r="AI225" s="3">
        <v>42548</v>
      </c>
      <c r="AJ225" s="3">
        <v>42585</v>
      </c>
      <c r="AK225" s="6" t="s">
        <v>185</v>
      </c>
      <c r="AL225" s="6" t="s">
        <v>123</v>
      </c>
      <c r="AU225" s="1">
        <v>2</v>
      </c>
      <c r="AV225" s="1">
        <v>0.5</v>
      </c>
      <c r="AW225" s="1"/>
      <c r="AX225" s="6" t="s">
        <v>45</v>
      </c>
      <c r="AY225" s="6" t="s">
        <v>45</v>
      </c>
      <c r="AZ225" s="6" t="s">
        <v>111</v>
      </c>
      <c r="BA225" s="6"/>
      <c r="BB225" s="6"/>
      <c r="BC225" s="6"/>
      <c r="BD225" s="6"/>
      <c r="BE225" s="6"/>
      <c r="BF225" s="1" t="s">
        <v>123</v>
      </c>
      <c r="BG225" s="1">
        <v>45</v>
      </c>
      <c r="BH225" s="1">
        <v>45</v>
      </c>
      <c r="BI225" s="1">
        <v>0</v>
      </c>
      <c r="BJ225" s="1">
        <v>0</v>
      </c>
      <c r="BK225" s="1">
        <f>BH225+BI225</f>
        <v>45</v>
      </c>
      <c r="BL225" s="1">
        <v>25</v>
      </c>
      <c r="BM225" s="1">
        <v>1.8</v>
      </c>
      <c r="BN225" s="1" t="s">
        <v>110</v>
      </c>
      <c r="BO225" s="1">
        <v>0</v>
      </c>
      <c r="BP225" s="1">
        <v>1</v>
      </c>
      <c r="BQ225" s="1">
        <v>1</v>
      </c>
      <c r="BR225" s="3">
        <v>42548</v>
      </c>
      <c r="BS225" s="1" t="s">
        <v>61</v>
      </c>
      <c r="BT225" s="12" t="s">
        <v>60</v>
      </c>
      <c r="BU225" s="1">
        <v>5</v>
      </c>
      <c r="BW225" s="1">
        <v>8.14</v>
      </c>
      <c r="BZ225" s="1">
        <v>14.7</v>
      </c>
      <c r="CA225" s="1">
        <v>293</v>
      </c>
      <c r="CB225" s="1">
        <v>1.87</v>
      </c>
      <c r="CE225" s="1">
        <v>1</v>
      </c>
      <c r="CF225" s="3">
        <v>42621</v>
      </c>
      <c r="CG225" s="7">
        <f>CF225-AJ225</f>
        <v>36</v>
      </c>
      <c r="CH225" s="1" t="s">
        <v>184</v>
      </c>
      <c r="CI225" s="12" t="s">
        <v>183</v>
      </c>
      <c r="CJ225" s="17" t="s">
        <v>182</v>
      </c>
      <c r="CK225" s="1" t="s">
        <v>181</v>
      </c>
      <c r="DS225" s="3"/>
      <c r="EI225" s="7"/>
      <c r="EN225" s="1"/>
      <c r="EO225" s="1"/>
      <c r="EP225" s="1"/>
      <c r="EQ225" s="1"/>
      <c r="ER225" s="1"/>
      <c r="ES225" s="1"/>
      <c r="ET225" s="1"/>
      <c r="EU225" s="1"/>
      <c r="EV225" s="1"/>
      <c r="EW225" s="1"/>
      <c r="FC225" s="1">
        <v>1</v>
      </c>
      <c r="FD225" s="1">
        <v>1</v>
      </c>
      <c r="FF225" s="3">
        <v>42948</v>
      </c>
      <c r="FG225" s="3">
        <f>IF(FC225=1, FF225, IF(FD225=1, 44348, DJ225))</f>
        <v>42948</v>
      </c>
      <c r="FH225" s="13">
        <f>(FG225-I225)/365.25*12</f>
        <v>13.141683778234086</v>
      </c>
      <c r="FI225" s="13"/>
      <c r="FJ225" s="14"/>
      <c r="FK225" s="11"/>
      <c r="FL225" s="13"/>
      <c r="FM225" s="14"/>
      <c r="FN225" s="11"/>
      <c r="FO225" s="13"/>
      <c r="FP225" s="14"/>
      <c r="FQ225" s="11"/>
      <c r="FR225" s="13"/>
    </row>
    <row r="226" spans="1:180" ht="12.75" hidden="1" customHeight="1">
      <c r="A226" s="1" t="s">
        <v>180</v>
      </c>
      <c r="B226" s="15" t="s">
        <v>179</v>
      </c>
      <c r="C226" s="1">
        <v>37656948</v>
      </c>
      <c r="D226" s="1">
        <v>1</v>
      </c>
      <c r="E226" s="1">
        <v>1</v>
      </c>
      <c r="G226" s="12">
        <v>1</v>
      </c>
      <c r="H226" s="1" t="s">
        <v>178</v>
      </c>
      <c r="I226" s="3">
        <v>42584</v>
      </c>
      <c r="J226" s="3">
        <v>42565</v>
      </c>
      <c r="K226" s="3">
        <v>18815</v>
      </c>
      <c r="L226" s="5">
        <f>(DAYS360(K226,I226))/365</f>
        <v>64.180821917808217</v>
      </c>
      <c r="M226" s="1" t="s">
        <v>5</v>
      </c>
      <c r="N226" s="1">
        <v>1</v>
      </c>
      <c r="O226" s="1">
        <v>0</v>
      </c>
      <c r="P226" s="1" t="s">
        <v>69</v>
      </c>
      <c r="R226" s="1" t="s">
        <v>177</v>
      </c>
      <c r="S226" s="1">
        <v>30</v>
      </c>
      <c r="T226" s="1" t="s">
        <v>80</v>
      </c>
      <c r="U226" s="1">
        <v>0</v>
      </c>
      <c r="V226" s="1">
        <v>1</v>
      </c>
      <c r="W226" s="1">
        <v>0</v>
      </c>
      <c r="X226" s="1" t="s">
        <v>176</v>
      </c>
      <c r="Y226" s="1" t="s">
        <v>64</v>
      </c>
      <c r="Z226" s="1">
        <v>0</v>
      </c>
      <c r="AA226" s="1" t="s">
        <v>96</v>
      </c>
      <c r="AC226" s="1">
        <v>5</v>
      </c>
      <c r="AD226" s="1" t="s">
        <v>175</v>
      </c>
      <c r="AE226" s="1" t="s">
        <v>174</v>
      </c>
      <c r="AF226" s="1">
        <v>1</v>
      </c>
      <c r="AH226" s="1">
        <v>1</v>
      </c>
      <c r="AI226" s="3">
        <v>42584</v>
      </c>
      <c r="AJ226" s="3">
        <v>42619</v>
      </c>
      <c r="AK226" s="6" t="s">
        <v>173</v>
      </c>
      <c r="AL226" s="6" t="s">
        <v>172</v>
      </c>
      <c r="AU226" s="1">
        <v>3</v>
      </c>
      <c r="AV226" s="1">
        <v>1</v>
      </c>
      <c r="AW226" s="1"/>
      <c r="AZ226" s="1">
        <v>0.5</v>
      </c>
      <c r="BF226" s="6" t="s">
        <v>172</v>
      </c>
      <c r="BG226" s="1">
        <v>45</v>
      </c>
      <c r="BH226" s="1">
        <v>45</v>
      </c>
      <c r="BI226" s="1">
        <v>0</v>
      </c>
      <c r="BJ226" s="1">
        <v>0</v>
      </c>
      <c r="BK226" s="1">
        <f>BH226+BI226</f>
        <v>45</v>
      </c>
      <c r="BL226" s="1">
        <v>25</v>
      </c>
      <c r="BM226" s="1">
        <v>1.8</v>
      </c>
      <c r="BN226" s="1" t="s">
        <v>62</v>
      </c>
      <c r="BO226" s="1">
        <v>1</v>
      </c>
      <c r="BP226" s="1">
        <v>1</v>
      </c>
      <c r="BQ226" s="1">
        <v>1</v>
      </c>
      <c r="BR226" s="3">
        <v>42584</v>
      </c>
      <c r="BS226" s="1" t="s">
        <v>61</v>
      </c>
      <c r="BT226" s="12" t="s">
        <v>60</v>
      </c>
      <c r="BU226" s="1">
        <v>4</v>
      </c>
      <c r="BW226" s="1">
        <v>7.48</v>
      </c>
      <c r="BZ226" s="1">
        <v>14.7</v>
      </c>
      <c r="CA226" s="1">
        <v>150</v>
      </c>
      <c r="CB226" s="1">
        <v>1.9</v>
      </c>
      <c r="DS226" s="3"/>
      <c r="EI226" s="7"/>
      <c r="EN226" s="1"/>
      <c r="EO226" s="1"/>
      <c r="EP226" s="1"/>
      <c r="EQ226" s="1"/>
      <c r="ER226" s="1"/>
      <c r="ES226" s="1"/>
      <c r="ET226" s="1"/>
      <c r="EU226" s="1"/>
      <c r="EV226" s="1"/>
      <c r="EW226" s="1"/>
      <c r="FC226" s="1">
        <v>1</v>
      </c>
      <c r="FD226" s="1">
        <v>1</v>
      </c>
      <c r="FF226" s="3">
        <v>43594</v>
      </c>
      <c r="FG226" s="3">
        <f>IF(FC226=1, FF226, IF(FD226=1, 44348, DJ226))</f>
        <v>43594</v>
      </c>
      <c r="FH226" s="13">
        <f>(FG226-I226)/365.25*12</f>
        <v>33.182751540041068</v>
      </c>
      <c r="FI226" s="13"/>
      <c r="FJ226" s="14"/>
      <c r="FK226" s="11"/>
      <c r="FL226" s="13"/>
      <c r="FM226" s="14"/>
      <c r="FN226" s="11"/>
      <c r="FO226" s="13"/>
      <c r="FP226" s="14"/>
      <c r="FQ226" s="11"/>
      <c r="FR226" s="13"/>
    </row>
    <row r="227" spans="1:180" ht="12.75" hidden="1" customHeight="1">
      <c r="A227" s="1" t="s">
        <v>171</v>
      </c>
      <c r="B227" s="15" t="s">
        <v>170</v>
      </c>
      <c r="C227" s="1">
        <v>48832829</v>
      </c>
      <c r="D227" s="1">
        <v>1</v>
      </c>
      <c r="E227" s="1">
        <v>1</v>
      </c>
      <c r="G227" s="12">
        <v>1</v>
      </c>
      <c r="H227" s="1" t="s">
        <v>169</v>
      </c>
      <c r="I227" s="3">
        <v>42703</v>
      </c>
      <c r="J227" s="3">
        <v>42676</v>
      </c>
      <c r="K227" s="3">
        <v>19861</v>
      </c>
      <c r="L227" s="5">
        <f>(DAYS360(K227,I227))/365</f>
        <v>61.676712328767124</v>
      </c>
      <c r="M227" s="1" t="s">
        <v>5</v>
      </c>
      <c r="N227" s="1">
        <v>0</v>
      </c>
      <c r="O227" s="1">
        <v>0</v>
      </c>
      <c r="P227" s="1" t="s">
        <v>69</v>
      </c>
      <c r="R227" s="1" t="s">
        <v>18</v>
      </c>
      <c r="S227" s="1" t="s">
        <v>168</v>
      </c>
      <c r="T227" s="1" t="s">
        <v>67</v>
      </c>
      <c r="U227" s="1">
        <v>0</v>
      </c>
      <c r="V227" s="1">
        <v>0</v>
      </c>
      <c r="W227" s="1">
        <v>1</v>
      </c>
      <c r="X227" s="1" t="s">
        <v>117</v>
      </c>
      <c r="Y227" s="1">
        <v>3</v>
      </c>
      <c r="Z227" s="1">
        <v>1</v>
      </c>
      <c r="AA227" s="1" t="s">
        <v>116</v>
      </c>
      <c r="AC227" s="1">
        <v>3</v>
      </c>
      <c r="AD227" s="1" t="s">
        <v>167</v>
      </c>
      <c r="AE227" s="1" t="s">
        <v>148</v>
      </c>
      <c r="AF227" s="1">
        <v>0</v>
      </c>
      <c r="AH227" s="1">
        <v>0</v>
      </c>
      <c r="AI227" s="3">
        <v>42703</v>
      </c>
      <c r="AJ227" s="3">
        <v>42737</v>
      </c>
      <c r="AK227" s="6" t="s">
        <v>166</v>
      </c>
      <c r="AL227" s="6" t="s">
        <v>165</v>
      </c>
      <c r="AU227" s="1">
        <v>4</v>
      </c>
      <c r="AV227" s="1">
        <v>1</v>
      </c>
      <c r="AW227" s="1"/>
      <c r="AX227" s="6" t="s">
        <v>45</v>
      </c>
      <c r="AY227" s="6" t="s">
        <v>45</v>
      </c>
      <c r="AZ227" s="1">
        <v>0.7</v>
      </c>
      <c r="BF227" s="6" t="s">
        <v>165</v>
      </c>
      <c r="BG227" s="1">
        <v>45</v>
      </c>
      <c r="BH227" s="1">
        <v>45</v>
      </c>
      <c r="BI227" s="1">
        <v>0</v>
      </c>
      <c r="BJ227" s="1">
        <v>0</v>
      </c>
      <c r="BK227" s="1">
        <f>BH227+BI227</f>
        <v>45</v>
      </c>
      <c r="BL227" s="1">
        <v>25</v>
      </c>
      <c r="BM227" s="1">
        <v>1.8</v>
      </c>
      <c r="BN227" s="1" t="s">
        <v>110</v>
      </c>
      <c r="BO227" s="1">
        <v>0</v>
      </c>
      <c r="BP227" s="1">
        <v>1</v>
      </c>
      <c r="BQ227" s="1">
        <v>1</v>
      </c>
      <c r="BR227" s="3">
        <v>42703</v>
      </c>
      <c r="BS227" s="1" t="s">
        <v>109</v>
      </c>
      <c r="BT227" s="12" t="s">
        <v>90</v>
      </c>
      <c r="BU227" s="1">
        <v>2</v>
      </c>
      <c r="BW227" s="1">
        <v>6.77</v>
      </c>
      <c r="BZ227" s="1">
        <v>13.2</v>
      </c>
      <c r="CA227" s="1">
        <v>209</v>
      </c>
      <c r="CB227" s="1">
        <v>1.88</v>
      </c>
      <c r="CE227" s="1">
        <v>1</v>
      </c>
      <c r="DS227" s="3"/>
      <c r="EI227" s="7"/>
      <c r="EN227" s="1"/>
      <c r="EO227" s="1"/>
      <c r="EP227" s="1"/>
      <c r="EQ227" s="1"/>
      <c r="ER227" s="1"/>
      <c r="ES227" s="1"/>
      <c r="ET227" s="1"/>
      <c r="EU227" s="1"/>
      <c r="EV227" s="1"/>
      <c r="EW227" s="1"/>
      <c r="FC227" s="1">
        <v>1</v>
      </c>
      <c r="FD227" s="1">
        <v>1</v>
      </c>
      <c r="FF227" s="3">
        <v>44138</v>
      </c>
      <c r="FG227" s="3">
        <f>IF(FC227=1, FF227, IF(FD227=1, 44348, DJ227))</f>
        <v>44138</v>
      </c>
      <c r="FH227" s="13">
        <f>(FG227-I227)/365.25*12</f>
        <v>47.145790554414788</v>
      </c>
      <c r="FI227" s="13"/>
      <c r="FJ227" s="14"/>
      <c r="FK227" s="11"/>
      <c r="FL227" s="13"/>
      <c r="FM227" s="14"/>
      <c r="FN227" s="11"/>
      <c r="FO227" s="13"/>
      <c r="FP227" s="14"/>
      <c r="FQ227" s="11"/>
      <c r="FR227" s="13"/>
    </row>
    <row r="228" spans="1:180" ht="12.75" hidden="1" customHeight="1">
      <c r="A228" s="1" t="s">
        <v>164</v>
      </c>
      <c r="B228" s="15" t="s">
        <v>163</v>
      </c>
      <c r="C228" s="1">
        <v>48834779</v>
      </c>
      <c r="D228" s="1">
        <v>1</v>
      </c>
      <c r="E228" s="1">
        <v>1</v>
      </c>
      <c r="G228" s="12">
        <v>1</v>
      </c>
      <c r="H228" s="1" t="s">
        <v>162</v>
      </c>
      <c r="I228" s="3">
        <v>42719</v>
      </c>
      <c r="J228" s="3">
        <v>42676</v>
      </c>
      <c r="K228" s="3">
        <v>17686</v>
      </c>
      <c r="L228" s="5">
        <f>(DAYS360(K228,I228))/365</f>
        <v>67.597260273972609</v>
      </c>
      <c r="M228" s="1" t="s">
        <v>5</v>
      </c>
      <c r="N228" s="1">
        <v>1</v>
      </c>
      <c r="O228" s="1">
        <v>0</v>
      </c>
      <c r="P228" s="1" t="s">
        <v>161</v>
      </c>
      <c r="R228" s="1" t="s">
        <v>18</v>
      </c>
      <c r="AI228" s="3">
        <v>42719</v>
      </c>
      <c r="AJ228" s="3">
        <v>42753</v>
      </c>
      <c r="BA228" s="6"/>
      <c r="BB228" s="6"/>
      <c r="BC228" s="6"/>
      <c r="BD228" s="6"/>
      <c r="BE228" s="6"/>
      <c r="DS228" s="3"/>
      <c r="EI228" s="7"/>
      <c r="EN228" s="1"/>
      <c r="EO228" s="1"/>
      <c r="EP228" s="1"/>
      <c r="EQ228" s="1"/>
      <c r="ER228" s="1"/>
      <c r="ES228" s="1"/>
      <c r="ET228" s="1"/>
      <c r="EU228" s="1"/>
      <c r="EV228" s="1"/>
      <c r="EW228" s="1"/>
      <c r="FC228" s="1">
        <v>0</v>
      </c>
      <c r="FD228" s="1">
        <v>1</v>
      </c>
      <c r="FF228" s="1" t="s">
        <v>45</v>
      </c>
      <c r="FG228" s="3">
        <f>IF(FC228=1, FF228, IF(FD228=1, 44348, DJ228))</f>
        <v>44348</v>
      </c>
      <c r="FH228" s="13">
        <f>(FG228-I228)/365.25*12</f>
        <v>53.519507186858313</v>
      </c>
      <c r="FI228" s="13"/>
      <c r="FJ228" s="14"/>
      <c r="FK228" s="11"/>
      <c r="FL228" s="13"/>
      <c r="FM228" s="13"/>
      <c r="FN228" s="11"/>
      <c r="FO228" s="13"/>
      <c r="FP228" s="14"/>
      <c r="FQ228" s="11"/>
      <c r="FR228" s="13"/>
    </row>
    <row r="229" spans="1:180" ht="12.75" hidden="1" customHeight="1">
      <c r="A229" s="1" t="s">
        <v>160</v>
      </c>
      <c r="B229" s="15" t="s">
        <v>159</v>
      </c>
      <c r="C229" s="1">
        <v>48996886</v>
      </c>
      <c r="D229" s="1">
        <v>1</v>
      </c>
      <c r="E229" s="1">
        <v>1</v>
      </c>
      <c r="G229" s="12">
        <v>1</v>
      </c>
      <c r="H229" s="1" t="s">
        <v>158</v>
      </c>
      <c r="I229" s="3">
        <v>42744</v>
      </c>
      <c r="J229" s="3">
        <v>42725</v>
      </c>
      <c r="K229" s="3">
        <v>21519</v>
      </c>
      <c r="L229" s="5">
        <f>(DAYS360(K229,I229))/365</f>
        <v>57.31232876712329</v>
      </c>
      <c r="M229" s="9" t="s">
        <v>5</v>
      </c>
      <c r="N229" s="1">
        <v>0</v>
      </c>
      <c r="O229" s="1">
        <v>1</v>
      </c>
      <c r="R229" s="1" t="s">
        <v>18</v>
      </c>
      <c r="AI229" s="3">
        <v>42744</v>
      </c>
      <c r="AJ229" s="3">
        <v>42780</v>
      </c>
      <c r="BA229" s="6"/>
      <c r="BB229" s="6"/>
      <c r="BC229" s="6"/>
      <c r="BD229" s="6"/>
      <c r="BE229" s="6"/>
      <c r="DS229" s="3"/>
      <c r="EI229" s="7"/>
      <c r="EN229" s="1"/>
      <c r="EO229" s="1"/>
      <c r="EP229" s="1"/>
      <c r="EQ229" s="1"/>
      <c r="ER229" s="1"/>
      <c r="ES229" s="1"/>
      <c r="ET229" s="1"/>
      <c r="EU229" s="1"/>
      <c r="EV229" s="1"/>
      <c r="EW229" s="1"/>
      <c r="FC229" s="1">
        <v>0</v>
      </c>
      <c r="FD229" s="1">
        <v>1</v>
      </c>
      <c r="FF229" s="1" t="s">
        <v>45</v>
      </c>
      <c r="FG229" s="3">
        <f>IF(FC229=1, FF229, IF(FD229=1, 44348, DJ229))</f>
        <v>44348</v>
      </c>
      <c r="FH229" s="13">
        <f>(FG229-I229)/365.25*12</f>
        <v>52.698151950718682</v>
      </c>
      <c r="FI229" s="13"/>
      <c r="FJ229" s="14"/>
      <c r="FK229" s="11"/>
      <c r="FL229" s="13"/>
      <c r="FM229" s="13"/>
      <c r="FN229" s="11"/>
      <c r="FO229" s="13"/>
      <c r="FP229" s="14"/>
      <c r="FQ229" s="11"/>
      <c r="FR229" s="13"/>
    </row>
    <row r="230" spans="1:180" ht="12.75" hidden="1" customHeight="1">
      <c r="A230" s="1" t="s">
        <v>157</v>
      </c>
      <c r="B230" s="15" t="s">
        <v>156</v>
      </c>
      <c r="C230" s="1">
        <v>34361258</v>
      </c>
      <c r="D230" s="1">
        <v>1</v>
      </c>
      <c r="E230" s="1">
        <v>1</v>
      </c>
      <c r="G230" s="12">
        <v>1</v>
      </c>
      <c r="H230" s="1" t="s">
        <v>155</v>
      </c>
      <c r="I230" s="3">
        <v>42760</v>
      </c>
      <c r="J230" s="3">
        <v>42720</v>
      </c>
      <c r="K230" s="3">
        <v>15652</v>
      </c>
      <c r="L230" s="5">
        <f>(DAYS360(K230,I230))/365</f>
        <v>73.2</v>
      </c>
      <c r="M230" s="1" t="s">
        <v>5</v>
      </c>
      <c r="N230" s="1">
        <v>2</v>
      </c>
      <c r="O230" s="1">
        <v>0</v>
      </c>
      <c r="R230" s="1" t="s">
        <v>154</v>
      </c>
      <c r="AI230" s="3">
        <v>42760</v>
      </c>
      <c r="AJ230" s="3">
        <v>42800</v>
      </c>
      <c r="BA230" s="6"/>
      <c r="BB230" s="6"/>
      <c r="BC230" s="6"/>
      <c r="BD230" s="6"/>
      <c r="BE230" s="6"/>
      <c r="DS230" s="3"/>
      <c r="EI230" s="7"/>
      <c r="EN230" s="1"/>
      <c r="EO230" s="1"/>
      <c r="EP230" s="1"/>
      <c r="EQ230" s="1"/>
      <c r="ER230" s="1"/>
      <c r="ES230" s="1"/>
      <c r="ET230" s="1"/>
      <c r="EU230" s="1"/>
      <c r="EV230" s="1"/>
      <c r="EW230" s="1"/>
      <c r="FC230" s="1">
        <v>1</v>
      </c>
      <c r="FD230" s="1">
        <v>1</v>
      </c>
      <c r="FF230" s="3">
        <v>42915</v>
      </c>
      <c r="FG230" s="3">
        <f>IF(FC230=1, FF230, IF(FD230=1, 44348, DJ230))</f>
        <v>42915</v>
      </c>
      <c r="FH230" s="13">
        <f>(FG230-I230)/365.25*12</f>
        <v>5.0924024640657084</v>
      </c>
      <c r="FI230" s="13"/>
      <c r="FJ230" s="14"/>
      <c r="FK230" s="11"/>
      <c r="FL230" s="13"/>
      <c r="FM230" s="14"/>
      <c r="FN230" s="11"/>
      <c r="FO230" s="13"/>
      <c r="FP230" s="14"/>
      <c r="FQ230" s="11"/>
      <c r="FR230" s="13"/>
    </row>
    <row r="231" spans="1:180" ht="12.75" hidden="1" customHeight="1">
      <c r="A231" s="1" t="s">
        <v>153</v>
      </c>
      <c r="B231" s="15" t="s">
        <v>152</v>
      </c>
      <c r="C231" s="1">
        <v>49254244</v>
      </c>
      <c r="D231" s="1">
        <v>0</v>
      </c>
      <c r="E231" s="1">
        <v>0</v>
      </c>
      <c r="G231" s="12">
        <v>1</v>
      </c>
      <c r="I231" s="3">
        <v>42824</v>
      </c>
      <c r="J231" s="3">
        <v>42803</v>
      </c>
      <c r="K231" s="3">
        <v>22940</v>
      </c>
      <c r="L231" s="5">
        <f>(DAYS360(K231,I231))/365</f>
        <v>53.695890410958903</v>
      </c>
      <c r="M231" s="1" t="s">
        <v>5</v>
      </c>
      <c r="N231" s="1">
        <v>0</v>
      </c>
      <c r="O231" s="1">
        <v>0</v>
      </c>
      <c r="P231" s="1" t="s">
        <v>69</v>
      </c>
      <c r="Q231" s="1">
        <v>1</v>
      </c>
      <c r="R231" s="1" t="s">
        <v>18</v>
      </c>
      <c r="S231" s="1" t="s">
        <v>151</v>
      </c>
      <c r="T231" s="1" t="s">
        <v>150</v>
      </c>
      <c r="U231" s="1">
        <v>0</v>
      </c>
      <c r="V231" s="1">
        <v>1</v>
      </c>
      <c r="W231" s="1">
        <v>1</v>
      </c>
      <c r="X231" s="1" t="s">
        <v>117</v>
      </c>
      <c r="Y231" s="1">
        <v>3</v>
      </c>
      <c r="Z231" s="1">
        <v>1</v>
      </c>
      <c r="AA231" s="1" t="s">
        <v>116</v>
      </c>
      <c r="AC231" s="1">
        <v>3</v>
      </c>
      <c r="AD231" s="1" t="s">
        <v>149</v>
      </c>
      <c r="AE231" s="1" t="s">
        <v>148</v>
      </c>
      <c r="AF231" s="1">
        <v>0</v>
      </c>
      <c r="AG231" s="1">
        <v>0</v>
      </c>
      <c r="AH231" s="1">
        <v>0</v>
      </c>
      <c r="AI231" s="3">
        <v>42824</v>
      </c>
      <c r="AJ231" s="3">
        <v>42859</v>
      </c>
      <c r="AK231" s="6" t="s">
        <v>147</v>
      </c>
      <c r="AL231" s="6" t="s">
        <v>123</v>
      </c>
      <c r="AM231" s="1">
        <v>1</v>
      </c>
      <c r="AN231" s="1">
        <v>1</v>
      </c>
      <c r="AO231" s="1">
        <v>0</v>
      </c>
      <c r="AP231" s="1">
        <v>0</v>
      </c>
      <c r="AQ231" s="1">
        <v>0</v>
      </c>
      <c r="AR231" s="1">
        <v>0</v>
      </c>
      <c r="AS231" s="1"/>
      <c r="AT231" s="1"/>
      <c r="AU231" s="1">
        <v>3</v>
      </c>
      <c r="AV231" s="1">
        <v>0.5</v>
      </c>
      <c r="AW231" s="1"/>
      <c r="AX231" s="6" t="s">
        <v>45</v>
      </c>
      <c r="AY231" s="6" t="s">
        <v>45</v>
      </c>
      <c r="AZ231" s="1">
        <v>0.6</v>
      </c>
      <c r="BF231" s="1" t="s">
        <v>123</v>
      </c>
      <c r="BG231" s="1">
        <v>45</v>
      </c>
      <c r="BH231" s="1">
        <v>45</v>
      </c>
      <c r="BI231" s="1">
        <v>0</v>
      </c>
      <c r="BJ231" s="1">
        <v>0</v>
      </c>
      <c r="BK231" s="1">
        <f>BH231+BI231</f>
        <v>45</v>
      </c>
      <c r="BL231" s="1">
        <v>25</v>
      </c>
      <c r="BM231" s="1">
        <v>1.8</v>
      </c>
      <c r="BN231" s="1" t="s">
        <v>62</v>
      </c>
      <c r="BO231" s="1">
        <v>1</v>
      </c>
      <c r="BP231" s="1">
        <v>1</v>
      </c>
      <c r="BQ231" s="1">
        <v>1</v>
      </c>
      <c r="BR231" s="3">
        <v>42824</v>
      </c>
      <c r="BS231" s="1" t="s">
        <v>61</v>
      </c>
      <c r="BT231" s="12" t="s">
        <v>60</v>
      </c>
      <c r="BU231" s="1">
        <v>5</v>
      </c>
      <c r="BV231" s="1">
        <v>1</v>
      </c>
      <c r="BW231" s="1">
        <v>6.27</v>
      </c>
      <c r="BZ231" s="1">
        <v>14.8</v>
      </c>
      <c r="CA231" s="1">
        <v>164</v>
      </c>
      <c r="CB231" s="1">
        <v>1.54</v>
      </c>
      <c r="CE231" s="1">
        <v>0</v>
      </c>
      <c r="CF231" s="1" t="s">
        <v>45</v>
      </c>
      <c r="CH231" s="1" t="s">
        <v>45</v>
      </c>
      <c r="CI231" s="1" t="s">
        <v>45</v>
      </c>
      <c r="CJ231" s="1" t="s">
        <v>45</v>
      </c>
      <c r="CK231" s="1" t="s">
        <v>45</v>
      </c>
      <c r="CL231" s="1" t="s">
        <v>45</v>
      </c>
      <c r="CM231" s="1" t="s">
        <v>45</v>
      </c>
      <c r="CO231" s="1" t="s">
        <v>45</v>
      </c>
      <c r="CQ231" s="1" t="s">
        <v>45</v>
      </c>
      <c r="CR231" s="1" t="s">
        <v>45</v>
      </c>
      <c r="CS231" s="1" t="s">
        <v>45</v>
      </c>
      <c r="CT231" s="1" t="s">
        <v>45</v>
      </c>
      <c r="CU231" s="1" t="s">
        <v>45</v>
      </c>
      <c r="CV231" s="1" t="s">
        <v>45</v>
      </c>
      <c r="CW231" s="1" t="s">
        <v>45</v>
      </c>
      <c r="CX231" s="1" t="s">
        <v>45</v>
      </c>
      <c r="CY231" s="1" t="s">
        <v>45</v>
      </c>
      <c r="CZ231" s="1" t="s">
        <v>45</v>
      </c>
      <c r="DA231" s="1" t="s">
        <v>45</v>
      </c>
      <c r="DB231" s="2" t="s">
        <v>45</v>
      </c>
      <c r="DC231" s="1" t="s">
        <v>45</v>
      </c>
      <c r="DD231" s="1" t="s">
        <v>45</v>
      </c>
      <c r="DE231" s="1" t="s">
        <v>45</v>
      </c>
      <c r="DF231" s="1" t="s">
        <v>45</v>
      </c>
      <c r="DG231" s="1" t="s">
        <v>45</v>
      </c>
      <c r="DH231" s="7">
        <v>0</v>
      </c>
      <c r="DI231" s="7">
        <v>0</v>
      </c>
      <c r="DJ231" s="3">
        <v>43066</v>
      </c>
      <c r="DK231" s="1" t="s">
        <v>88</v>
      </c>
      <c r="DL231" s="12">
        <f>(DJ231-I231)/365.25*12</f>
        <v>7.9507186858316228</v>
      </c>
      <c r="DM231" s="1">
        <v>1</v>
      </c>
      <c r="DN231" s="1" t="s">
        <v>146</v>
      </c>
      <c r="DO231" s="3">
        <v>42886</v>
      </c>
      <c r="DP231" s="6" t="s">
        <v>145</v>
      </c>
      <c r="DQ231" s="7">
        <v>0</v>
      </c>
      <c r="DR231" s="3">
        <v>42980</v>
      </c>
      <c r="DS231" s="10">
        <f>IF(DQ231=1, (DR231-$I231)/365.25*12, IF(DQ231=0, $DL231, "ERROR"))</f>
        <v>7.9507186858316228</v>
      </c>
      <c r="DT231" s="7">
        <v>1</v>
      </c>
      <c r="DU231" s="7">
        <v>1</v>
      </c>
      <c r="DV231" s="7">
        <v>0</v>
      </c>
      <c r="DW231" s="16">
        <f>DU231*(1-DV231)</f>
        <v>1</v>
      </c>
      <c r="DX231" s="16">
        <f>(1-DU231)*DV231</f>
        <v>0</v>
      </c>
      <c r="DY231" s="16">
        <f>DU231*DV231</f>
        <v>0</v>
      </c>
      <c r="DZ231" s="3">
        <v>42980</v>
      </c>
      <c r="EA231" s="10">
        <f>IF(DT231=1, (DZ231-$I231)/365.25*12, IF(DT231=0, $DL231, "ERROR"))</f>
        <v>5.1252566735112932</v>
      </c>
      <c r="EB231" s="7">
        <v>1</v>
      </c>
      <c r="EC231" s="7">
        <v>1</v>
      </c>
      <c r="ED231" s="16">
        <f>1-((1-DQ231)*(1-DT231))</f>
        <v>1</v>
      </c>
      <c r="EE231" s="11">
        <f>MIN(DR231,DZ231)</f>
        <v>42980</v>
      </c>
      <c r="EF231" s="1" t="s">
        <v>132</v>
      </c>
      <c r="EG231" s="7" t="s">
        <v>45</v>
      </c>
      <c r="EH231" s="1" t="s">
        <v>45</v>
      </c>
      <c r="EI231" s="1">
        <v>1</v>
      </c>
      <c r="EJ231" s="16">
        <f>(1-DQ231)*DX231*(1-EI231)</f>
        <v>0</v>
      </c>
      <c r="EK231" s="3">
        <v>42886</v>
      </c>
      <c r="EL231" s="10">
        <f>IF(EI231=1, (EK231-$I231)/365.25*12, IF(EI231=0, $DL231, "ERROR"))</f>
        <v>2.0369609856262834</v>
      </c>
      <c r="EM231" s="1" t="s">
        <v>144</v>
      </c>
      <c r="EN231" s="1"/>
      <c r="EO231" s="1"/>
      <c r="EP231" s="1"/>
      <c r="EQ231" s="1"/>
      <c r="ER231" s="1"/>
      <c r="ES231" s="1"/>
      <c r="ET231" s="1"/>
      <c r="EU231" s="1"/>
      <c r="EV231" s="1"/>
      <c r="EW231" s="1"/>
      <c r="EX231" s="7">
        <v>0</v>
      </c>
      <c r="FB231" s="1" t="s">
        <v>45</v>
      </c>
      <c r="FC231" s="1">
        <v>0</v>
      </c>
      <c r="FD231" s="1">
        <v>0</v>
      </c>
      <c r="FF231" s="1" t="s">
        <v>45</v>
      </c>
      <c r="FG231" s="3">
        <f>IF(FC231=1, FF231, IF(FD231=1, 44348, DJ231))</f>
        <v>43066</v>
      </c>
      <c r="FH231" s="13">
        <f>(FG231-I231)/365.25*12</f>
        <v>7.9507186858316228</v>
      </c>
      <c r="FI231" s="13"/>
      <c r="FJ231" s="14">
        <f>IF(OR(DM231,FC231), 1, 0)</f>
        <v>1</v>
      </c>
      <c r="FK231" s="11">
        <f>IF(DM231=1,IF(FC231=1,MIN(DO231,FF231),DO231),IF(FC231=1,FF231,DJ231))</f>
        <v>42886</v>
      </c>
      <c r="FL231" s="13">
        <f>(FK231-$I231)/365.25*12</f>
        <v>2.0369609856262834</v>
      </c>
      <c r="FM231" s="14">
        <f>IF(OR(ED231,FC231), 1, 0)</f>
        <v>1</v>
      </c>
      <c r="FN231" s="11">
        <f>IF(ED231=1,IF(FC231=1,MIN(EE231,FF231),EE231),IF(FC231=1,FF231,DJ231))</f>
        <v>42980</v>
      </c>
      <c r="FO231" s="13">
        <f>(FN231-$I231)/365.25*12</f>
        <v>5.1252566735112932</v>
      </c>
      <c r="FP231" s="14">
        <f>IF(OR(EI231,FC231), 1, 0)</f>
        <v>1</v>
      </c>
      <c r="FQ231" s="11">
        <f>IF(EI231=1,IF(FC231=1,MIN(EK231,FF231),EK231),IF(FC231=1,FF231,DJ231))</f>
        <v>42886</v>
      </c>
      <c r="FR231" s="13">
        <f>(FQ231-$I231)/365.25*12</f>
        <v>2.0369609856262834</v>
      </c>
      <c r="FU231" s="1">
        <v>0</v>
      </c>
      <c r="FV231" s="1">
        <v>0</v>
      </c>
      <c r="FW231" s="1">
        <v>1</v>
      </c>
      <c r="FX231" s="1">
        <v>0</v>
      </c>
    </row>
    <row r="232" spans="1:180" ht="12.75" hidden="1" customHeight="1">
      <c r="A232" s="1" t="s">
        <v>143</v>
      </c>
      <c r="B232" s="15" t="s">
        <v>142</v>
      </c>
      <c r="C232" s="1">
        <v>49237287</v>
      </c>
      <c r="D232" s="1">
        <v>0</v>
      </c>
      <c r="E232" s="1">
        <v>0</v>
      </c>
      <c r="G232" s="12">
        <v>1</v>
      </c>
      <c r="I232" s="3">
        <v>42823</v>
      </c>
      <c r="J232" s="3">
        <v>42794</v>
      </c>
      <c r="K232" s="3">
        <v>20996</v>
      </c>
      <c r="L232" s="5">
        <f>(DAYS360(K232,I232))/365</f>
        <v>58.942465753424656</v>
      </c>
      <c r="M232" s="1" t="s">
        <v>5</v>
      </c>
      <c r="N232" s="1">
        <v>0</v>
      </c>
      <c r="O232" s="1">
        <v>0</v>
      </c>
      <c r="P232" s="1" t="s">
        <v>69</v>
      </c>
      <c r="Q232" s="1">
        <v>1</v>
      </c>
      <c r="R232" s="1" t="s">
        <v>18</v>
      </c>
      <c r="S232" s="1" t="s">
        <v>141</v>
      </c>
      <c r="T232" s="1" t="s">
        <v>140</v>
      </c>
      <c r="U232" s="1">
        <v>1</v>
      </c>
      <c r="V232" s="1">
        <v>0</v>
      </c>
      <c r="W232" s="1">
        <v>0</v>
      </c>
      <c r="X232" s="1" t="s">
        <v>139</v>
      </c>
      <c r="Y232" s="1">
        <v>4</v>
      </c>
      <c r="Z232" s="1">
        <v>1</v>
      </c>
      <c r="AA232" s="1" t="s">
        <v>96</v>
      </c>
      <c r="AC232" s="1">
        <v>5</v>
      </c>
      <c r="AD232" s="1" t="s">
        <v>138</v>
      </c>
      <c r="AE232" s="1" t="s">
        <v>137</v>
      </c>
      <c r="AF232" s="1">
        <v>1</v>
      </c>
      <c r="AG232" s="1">
        <v>1</v>
      </c>
      <c r="AH232" s="1">
        <v>0</v>
      </c>
      <c r="AI232" s="3">
        <v>42823</v>
      </c>
      <c r="AJ232" s="3">
        <v>42859</v>
      </c>
      <c r="AK232" s="6" t="s">
        <v>136</v>
      </c>
      <c r="AL232" s="6" t="s">
        <v>135</v>
      </c>
      <c r="AM232" s="1">
        <v>1</v>
      </c>
      <c r="AN232" s="1">
        <v>0</v>
      </c>
      <c r="AO232" s="1">
        <v>1</v>
      </c>
      <c r="AP232" s="1">
        <v>0</v>
      </c>
      <c r="AQ232" s="1">
        <v>0</v>
      </c>
      <c r="AR232" s="1">
        <v>0</v>
      </c>
      <c r="AS232" s="1"/>
      <c r="AT232" s="1"/>
      <c r="AU232" s="1">
        <v>3</v>
      </c>
      <c r="AV232" s="1">
        <v>0.5</v>
      </c>
      <c r="AW232" s="1"/>
      <c r="AX232" s="6" t="s">
        <v>45</v>
      </c>
      <c r="AY232" s="6" t="s">
        <v>45</v>
      </c>
      <c r="AZ232" s="1">
        <v>0.6</v>
      </c>
      <c r="BF232" s="6" t="s">
        <v>135</v>
      </c>
      <c r="BG232" s="1">
        <v>45</v>
      </c>
      <c r="BH232" s="1">
        <v>45</v>
      </c>
      <c r="BI232" s="1">
        <v>0</v>
      </c>
      <c r="BJ232" s="1">
        <v>0</v>
      </c>
      <c r="BK232" s="1">
        <f>BH232+BI232</f>
        <v>45</v>
      </c>
      <c r="BL232" s="1">
        <v>25</v>
      </c>
      <c r="BM232" s="1">
        <v>1.8</v>
      </c>
      <c r="BN232" s="1" t="s">
        <v>62</v>
      </c>
      <c r="BO232" s="1">
        <v>1</v>
      </c>
      <c r="BP232" s="1">
        <v>1</v>
      </c>
      <c r="BQ232" s="1">
        <v>1</v>
      </c>
      <c r="BR232" s="3">
        <v>42823</v>
      </c>
      <c r="BS232" s="1" t="s">
        <v>61</v>
      </c>
      <c r="BT232" s="12" t="s">
        <v>60</v>
      </c>
      <c r="BU232" s="1">
        <v>5</v>
      </c>
      <c r="BV232" s="1">
        <v>1</v>
      </c>
      <c r="BW232" s="1">
        <v>11.3</v>
      </c>
      <c r="BZ232" s="1">
        <v>11.7</v>
      </c>
      <c r="CA232" s="1">
        <v>362</v>
      </c>
      <c r="CB232" s="1">
        <v>1.78</v>
      </c>
      <c r="CE232" s="1">
        <v>0</v>
      </c>
      <c r="CF232" s="1" t="s">
        <v>45</v>
      </c>
      <c r="CH232" s="1" t="s">
        <v>45</v>
      </c>
      <c r="CI232" s="1" t="s">
        <v>45</v>
      </c>
      <c r="CJ232" s="1" t="s">
        <v>45</v>
      </c>
      <c r="CK232" s="1" t="s">
        <v>45</v>
      </c>
      <c r="CL232" s="1" t="s">
        <v>45</v>
      </c>
      <c r="CM232" s="1" t="s">
        <v>45</v>
      </c>
      <c r="CO232" s="1" t="s">
        <v>45</v>
      </c>
      <c r="CQ232" s="1" t="s">
        <v>45</v>
      </c>
      <c r="CR232" s="1" t="s">
        <v>45</v>
      </c>
      <c r="CS232" s="1" t="s">
        <v>45</v>
      </c>
      <c r="CT232" s="1" t="s">
        <v>45</v>
      </c>
      <c r="CU232" s="1" t="s">
        <v>45</v>
      </c>
      <c r="CV232" s="1" t="s">
        <v>45</v>
      </c>
      <c r="CW232" s="1" t="s">
        <v>45</v>
      </c>
      <c r="CX232" s="1" t="s">
        <v>45</v>
      </c>
      <c r="CY232" s="1" t="s">
        <v>45</v>
      </c>
      <c r="CZ232" s="1" t="s">
        <v>45</v>
      </c>
      <c r="DA232" s="1" t="s">
        <v>45</v>
      </c>
      <c r="DB232" s="2" t="s">
        <v>45</v>
      </c>
      <c r="DC232" s="1" t="s">
        <v>45</v>
      </c>
      <c r="DD232" s="1" t="s">
        <v>45</v>
      </c>
      <c r="DE232" s="1" t="s">
        <v>45</v>
      </c>
      <c r="DF232" s="1" t="s">
        <v>45</v>
      </c>
      <c r="DG232" s="1" t="s">
        <v>45</v>
      </c>
      <c r="DH232" s="7">
        <v>0</v>
      </c>
      <c r="DI232" s="7">
        <v>0</v>
      </c>
      <c r="DJ232" s="3">
        <v>42920</v>
      </c>
      <c r="DK232" s="1" t="s">
        <v>134</v>
      </c>
      <c r="DL232" s="12">
        <f>(DJ232-I232)/365.25*12</f>
        <v>3.1868583162217656</v>
      </c>
      <c r="DM232" s="1">
        <v>1</v>
      </c>
      <c r="DN232" s="1" t="s">
        <v>131</v>
      </c>
      <c r="DO232" s="3">
        <v>42871</v>
      </c>
      <c r="DP232" s="6" t="s">
        <v>133</v>
      </c>
      <c r="DQ232" s="7">
        <v>0</v>
      </c>
      <c r="DR232" s="3" t="s">
        <v>45</v>
      </c>
      <c r="DS232" s="10">
        <f>IF(DQ232=1, (DR232-$I232)/365.25*12, IF(DQ232=0, $DL232, "ERROR"))</f>
        <v>3.1868583162217656</v>
      </c>
      <c r="DT232" s="7">
        <v>0</v>
      </c>
      <c r="DU232" s="7">
        <v>0</v>
      </c>
      <c r="DV232" s="7">
        <v>0</v>
      </c>
      <c r="DW232" s="16">
        <f>DU232*(1-DV232)</f>
        <v>0</v>
      </c>
      <c r="DX232" s="16">
        <f>(1-DU232)*DV232</f>
        <v>0</v>
      </c>
      <c r="DY232" s="16">
        <f>DU232*DV232</f>
        <v>0</v>
      </c>
      <c r="DZ232" s="3" t="s">
        <v>45</v>
      </c>
      <c r="EA232" s="10">
        <f>IF(DT232=1, (DZ232-$I232)/365.25*12, IF(DT232=0, $DL232, "ERROR"))</f>
        <v>3.1868583162217656</v>
      </c>
      <c r="EB232" s="7">
        <v>0</v>
      </c>
      <c r="EC232" s="7">
        <v>0</v>
      </c>
      <c r="ED232" s="16">
        <f>1-((1-DQ232)*(1-DT232))</f>
        <v>0</v>
      </c>
      <c r="EE232" s="11" t="s">
        <v>45</v>
      </c>
      <c r="EF232" s="1" t="s">
        <v>132</v>
      </c>
      <c r="EG232" s="7" t="s">
        <v>45</v>
      </c>
      <c r="EH232" s="1" t="s">
        <v>45</v>
      </c>
      <c r="EI232" s="1">
        <v>1</v>
      </c>
      <c r="EJ232" s="16">
        <f>(1-DQ232)*DX232*(1-EI232)</f>
        <v>0</v>
      </c>
      <c r="EK232" s="3">
        <v>42871</v>
      </c>
      <c r="EL232" s="10">
        <f>IF(EI232=1, (EK232-$I232)/365.25*12, IF(EI232=0, $DL232, "ERROR"))</f>
        <v>1.5770020533880904</v>
      </c>
      <c r="EM232" s="1" t="s">
        <v>131</v>
      </c>
      <c r="EN232" s="1"/>
      <c r="EO232" s="1"/>
      <c r="EP232" s="1"/>
      <c r="EQ232" s="1"/>
      <c r="ER232" s="1"/>
      <c r="ES232" s="1"/>
      <c r="ET232" s="1"/>
      <c r="EU232" s="1"/>
      <c r="EV232" s="1"/>
      <c r="EW232" s="1"/>
      <c r="EX232" s="7">
        <v>0</v>
      </c>
      <c r="FB232" s="1" t="s">
        <v>45</v>
      </c>
      <c r="FC232" s="1">
        <v>1</v>
      </c>
      <c r="FD232" s="1">
        <v>1</v>
      </c>
      <c r="FF232" s="3">
        <v>42941</v>
      </c>
      <c r="FG232" s="3">
        <f>IF(FC232=1, FF232, IF(FD232=1, 44348, DJ232))</f>
        <v>42941</v>
      </c>
      <c r="FH232" s="13">
        <f>(FG232-I232)/365.25*12</f>
        <v>3.8767967145790552</v>
      </c>
      <c r="FI232" s="13"/>
      <c r="FJ232" s="14">
        <f>IF(OR(DM232,FC232), 1, 0)</f>
        <v>1</v>
      </c>
      <c r="FK232" s="11">
        <f>IF(DM232=1,IF(FC232=1,MIN(DO232,FF232),DO232),IF(FC232=1,FF232,DJ232))</f>
        <v>42871</v>
      </c>
      <c r="FL232" s="13">
        <f>(FK232-$I232)/365.25*12</f>
        <v>1.5770020533880904</v>
      </c>
      <c r="FM232" s="14">
        <f>IF(OR(ED232,FC232), 1, 0)</f>
        <v>1</v>
      </c>
      <c r="FN232" s="11">
        <f>IF(ED232=1,IF(FC232=1,MIN(EE232,FF232),EE232),IF(FC232=1,FF232,DJ232))</f>
        <v>42941</v>
      </c>
      <c r="FO232" s="13">
        <f>(FN232-$I232)/365.25*12</f>
        <v>3.8767967145790552</v>
      </c>
      <c r="FP232" s="14">
        <f>IF(OR(EI232,FC232), 1, 0)</f>
        <v>1</v>
      </c>
      <c r="FQ232" s="11">
        <f>IF(EI232=1,IF(FC232=1,MIN(EK232,FF232),EK232),IF(FC232=1,FF232,DJ232))</f>
        <v>42871</v>
      </c>
      <c r="FR232" s="13">
        <f>(FQ232-$I232)/365.25*12</f>
        <v>1.5770020533880904</v>
      </c>
      <c r="FU232" s="1">
        <v>0</v>
      </c>
      <c r="FV232" s="1">
        <v>0</v>
      </c>
      <c r="FW232" s="1">
        <v>0</v>
      </c>
      <c r="FX232" s="1">
        <v>0</v>
      </c>
    </row>
    <row r="233" spans="1:180" ht="12.75" hidden="1" customHeight="1">
      <c r="A233" s="1" t="s">
        <v>130</v>
      </c>
      <c r="B233" s="15" t="s">
        <v>129</v>
      </c>
      <c r="C233" s="1">
        <v>42641126</v>
      </c>
      <c r="D233" s="1">
        <v>1</v>
      </c>
      <c r="E233" s="1">
        <v>1</v>
      </c>
      <c r="G233" s="12">
        <v>1</v>
      </c>
      <c r="H233" s="1" t="s">
        <v>128</v>
      </c>
      <c r="I233" s="3">
        <v>42982</v>
      </c>
      <c r="J233" s="3">
        <v>42954</v>
      </c>
      <c r="K233" s="3">
        <v>15408</v>
      </c>
      <c r="L233" s="5">
        <f>(DAYS360(K233,I233))/365</f>
        <v>74.454794520547949</v>
      </c>
      <c r="M233" s="1" t="s">
        <v>5</v>
      </c>
      <c r="N233" s="1">
        <v>0</v>
      </c>
      <c r="O233" s="1">
        <v>0</v>
      </c>
      <c r="P233" s="1" t="s">
        <v>69</v>
      </c>
      <c r="R233" s="1" t="s">
        <v>18</v>
      </c>
      <c r="S233" s="1" t="s">
        <v>127</v>
      </c>
      <c r="T233" s="1" t="s">
        <v>67</v>
      </c>
      <c r="U233" s="1">
        <v>0</v>
      </c>
      <c r="V233" s="1">
        <v>0</v>
      </c>
      <c r="W233" s="1">
        <v>1</v>
      </c>
      <c r="X233" s="1" t="s">
        <v>117</v>
      </c>
      <c r="Y233" s="1">
        <v>3</v>
      </c>
      <c r="Z233" s="1">
        <v>1</v>
      </c>
      <c r="AA233" s="1" t="s">
        <v>116</v>
      </c>
      <c r="AC233" s="1">
        <v>3</v>
      </c>
      <c r="AD233" s="1" t="s">
        <v>126</v>
      </c>
      <c r="AE233" s="1" t="s">
        <v>125</v>
      </c>
      <c r="AF233" s="1">
        <v>0</v>
      </c>
      <c r="AH233" s="1">
        <v>0</v>
      </c>
      <c r="AI233" s="3">
        <v>42982</v>
      </c>
      <c r="AJ233" s="3">
        <v>43020</v>
      </c>
      <c r="AK233" s="6" t="s">
        <v>124</v>
      </c>
      <c r="AU233" s="1">
        <v>3</v>
      </c>
      <c r="AV233" s="1">
        <v>0.5</v>
      </c>
      <c r="AW233" s="1"/>
      <c r="AX233" s="6" t="s">
        <v>45</v>
      </c>
      <c r="AY233" s="6" t="s">
        <v>45</v>
      </c>
      <c r="AZ233" s="1">
        <v>0.7</v>
      </c>
      <c r="BF233" s="1" t="s">
        <v>123</v>
      </c>
      <c r="BG233" s="1">
        <v>45</v>
      </c>
      <c r="BH233" s="1">
        <v>45</v>
      </c>
      <c r="BI233" s="1">
        <v>0</v>
      </c>
      <c r="BJ233" s="1">
        <v>0</v>
      </c>
      <c r="BK233" s="1">
        <f>BH233+BI233</f>
        <v>45</v>
      </c>
      <c r="BL233" s="1">
        <v>25</v>
      </c>
      <c r="BM233" s="1">
        <v>1.8</v>
      </c>
      <c r="BN233" s="1" t="s">
        <v>62</v>
      </c>
      <c r="BO233" s="1">
        <v>1</v>
      </c>
      <c r="BP233" s="1">
        <v>1</v>
      </c>
      <c r="BQ233" s="1">
        <v>0</v>
      </c>
      <c r="BR233" s="1" t="s">
        <v>45</v>
      </c>
      <c r="BS233" s="1" t="s">
        <v>45</v>
      </c>
      <c r="BT233" s="1" t="s">
        <v>45</v>
      </c>
      <c r="BU233" s="1" t="s">
        <v>45</v>
      </c>
      <c r="DS233" s="3"/>
      <c r="EI233" s="7"/>
      <c r="EN233" s="1"/>
      <c r="EO233" s="1"/>
      <c r="EP233" s="1"/>
      <c r="EQ233" s="1"/>
      <c r="ER233" s="1"/>
      <c r="ES233" s="1"/>
      <c r="ET233" s="1"/>
      <c r="EU233" s="1"/>
      <c r="EV233" s="1"/>
      <c r="EW233" s="1"/>
      <c r="FC233" s="1">
        <v>1</v>
      </c>
      <c r="FD233" s="1">
        <v>1</v>
      </c>
      <c r="FF233" s="3">
        <v>43186</v>
      </c>
      <c r="FG233" s="3">
        <f>IF(FC233=1, FF233, IF(FD233=1, 44348, DJ233))</f>
        <v>43186</v>
      </c>
      <c r="FH233" s="13">
        <f>(FG233-I233)/365.25*12</f>
        <v>6.7022587268993838</v>
      </c>
      <c r="FI233" s="13"/>
      <c r="FJ233" s="14"/>
      <c r="FK233" s="11"/>
      <c r="FL233" s="13"/>
      <c r="FM233" s="14"/>
      <c r="FN233" s="11"/>
      <c r="FO233" s="13"/>
      <c r="FP233" s="14"/>
      <c r="FQ233" s="11"/>
      <c r="FR233" s="13"/>
    </row>
    <row r="234" spans="1:180" ht="12.75" hidden="1" customHeight="1">
      <c r="A234" s="1" t="s">
        <v>122</v>
      </c>
      <c r="B234" s="15" t="s">
        <v>121</v>
      </c>
      <c r="C234" s="1">
        <v>40377917</v>
      </c>
      <c r="D234" s="1">
        <v>1</v>
      </c>
      <c r="E234" s="1">
        <v>1</v>
      </c>
      <c r="G234" s="12">
        <v>1</v>
      </c>
      <c r="H234" s="1" t="s">
        <v>120</v>
      </c>
      <c r="I234" s="3">
        <v>42138</v>
      </c>
      <c r="J234" s="3">
        <v>42118</v>
      </c>
      <c r="K234" s="3">
        <v>16498</v>
      </c>
      <c r="L234" s="5">
        <f>(DAYS360(K234,I234))/365</f>
        <v>69.238356164383561</v>
      </c>
      <c r="M234" s="1" t="s">
        <v>5</v>
      </c>
      <c r="N234" s="1">
        <v>1</v>
      </c>
      <c r="O234" s="1">
        <v>2</v>
      </c>
      <c r="R234" s="1" t="s">
        <v>18</v>
      </c>
      <c r="AI234" s="3">
        <v>42138</v>
      </c>
      <c r="AJ234" s="3">
        <v>42173</v>
      </c>
      <c r="BA234" s="6"/>
      <c r="BB234" s="6"/>
      <c r="BC234" s="6"/>
      <c r="BD234" s="6"/>
      <c r="BE234" s="6"/>
      <c r="BG234" s="1">
        <v>45</v>
      </c>
      <c r="BH234" s="1">
        <v>45</v>
      </c>
      <c r="BI234" s="1">
        <v>0</v>
      </c>
      <c r="BJ234" s="1">
        <v>0</v>
      </c>
      <c r="BK234" s="1">
        <f>BH234+BI234</f>
        <v>45</v>
      </c>
      <c r="BL234" s="1">
        <v>25</v>
      </c>
      <c r="BM234" s="1">
        <v>1.8</v>
      </c>
      <c r="CE234" s="1">
        <v>0</v>
      </c>
      <c r="CF234" s="1" t="s">
        <v>45</v>
      </c>
      <c r="CH234" s="1" t="s">
        <v>45</v>
      </c>
      <c r="CI234" s="1" t="s">
        <v>45</v>
      </c>
      <c r="CJ234" s="1" t="s">
        <v>45</v>
      </c>
      <c r="CK234" s="1" t="s">
        <v>45</v>
      </c>
      <c r="CL234" s="1" t="s">
        <v>45</v>
      </c>
      <c r="CM234" s="1" t="s">
        <v>45</v>
      </c>
      <c r="CO234" s="1" t="s">
        <v>45</v>
      </c>
      <c r="CQ234" s="1" t="s">
        <v>45</v>
      </c>
      <c r="CR234" s="1" t="s">
        <v>45</v>
      </c>
      <c r="CS234" s="1" t="s">
        <v>45</v>
      </c>
      <c r="CT234" s="1" t="s">
        <v>45</v>
      </c>
      <c r="CU234" s="1" t="s">
        <v>45</v>
      </c>
      <c r="CV234" s="1" t="s">
        <v>45</v>
      </c>
      <c r="CW234" s="1" t="s">
        <v>45</v>
      </c>
      <c r="CX234" s="1" t="s">
        <v>45</v>
      </c>
      <c r="CY234" s="1" t="s">
        <v>45</v>
      </c>
      <c r="CZ234" s="1" t="s">
        <v>45</v>
      </c>
      <c r="DA234" s="1" t="s">
        <v>45</v>
      </c>
      <c r="DB234" s="2" t="s">
        <v>45</v>
      </c>
      <c r="DC234" s="1" t="s">
        <v>45</v>
      </c>
      <c r="DD234" s="1" t="s">
        <v>45</v>
      </c>
      <c r="DE234" s="1" t="s">
        <v>45</v>
      </c>
      <c r="DF234" s="1" t="s">
        <v>45</v>
      </c>
      <c r="DG234" s="1" t="s">
        <v>45</v>
      </c>
      <c r="DS234" s="3"/>
      <c r="EI234" s="7"/>
      <c r="EN234" s="1"/>
      <c r="EO234" s="1"/>
      <c r="EP234" s="1"/>
      <c r="EQ234" s="1"/>
      <c r="ER234" s="1"/>
      <c r="ES234" s="1"/>
      <c r="ET234" s="1"/>
      <c r="EU234" s="1"/>
      <c r="EV234" s="1"/>
      <c r="EW234" s="1"/>
      <c r="FC234" s="1">
        <v>1</v>
      </c>
      <c r="FD234" s="1">
        <v>1</v>
      </c>
      <c r="FF234" s="3">
        <v>42633</v>
      </c>
      <c r="FG234" s="3">
        <f>IF(FC234=1, FF234, IF(FD234=1, 44348, DJ234))</f>
        <v>42633</v>
      </c>
      <c r="FH234" s="13">
        <f>(FG234-I234)/365.25*12</f>
        <v>16.262833675564682</v>
      </c>
      <c r="FI234" s="13"/>
      <c r="FJ234" s="14"/>
      <c r="FK234" s="11"/>
      <c r="FL234" s="13"/>
      <c r="FM234" s="14"/>
      <c r="FN234" s="11"/>
      <c r="FO234" s="13"/>
      <c r="FP234" s="14"/>
      <c r="FQ234" s="11"/>
      <c r="FR234" s="13"/>
    </row>
    <row r="235" spans="1:180" ht="12.75" hidden="1" customHeight="1">
      <c r="A235" s="1" t="s">
        <v>119</v>
      </c>
      <c r="B235" s="15" t="s">
        <v>118</v>
      </c>
      <c r="C235" s="1">
        <v>44817796</v>
      </c>
      <c r="D235" s="1">
        <v>0</v>
      </c>
      <c r="E235" s="1">
        <v>0</v>
      </c>
      <c r="G235" s="12">
        <v>1</v>
      </c>
      <c r="I235" s="3">
        <v>41575</v>
      </c>
      <c r="J235" s="3">
        <v>41542</v>
      </c>
      <c r="K235" s="3">
        <v>15853</v>
      </c>
      <c r="L235" s="5">
        <f>(DAYS360(K235,I235))/365</f>
        <v>69.454794520547949</v>
      </c>
      <c r="M235" s="1" t="s">
        <v>5</v>
      </c>
      <c r="N235" s="1">
        <v>1</v>
      </c>
      <c r="O235" s="1">
        <v>0</v>
      </c>
      <c r="P235" s="1" t="s">
        <v>69</v>
      </c>
      <c r="Q235" s="1">
        <v>1</v>
      </c>
      <c r="R235" s="1" t="s">
        <v>18</v>
      </c>
      <c r="S235" s="1">
        <v>28</v>
      </c>
      <c r="T235" s="1" t="s">
        <v>80</v>
      </c>
      <c r="U235" s="1">
        <v>0</v>
      </c>
      <c r="V235" s="1">
        <v>1</v>
      </c>
      <c r="W235" s="1">
        <v>0</v>
      </c>
      <c r="X235" s="1" t="s">
        <v>117</v>
      </c>
      <c r="Y235" s="1">
        <v>3</v>
      </c>
      <c r="Z235" s="1">
        <v>1</v>
      </c>
      <c r="AA235" s="1" t="s">
        <v>116</v>
      </c>
      <c r="AC235" s="1">
        <v>3</v>
      </c>
      <c r="AD235" s="1" t="s">
        <v>115</v>
      </c>
      <c r="AE235" s="1" t="s">
        <v>114</v>
      </c>
      <c r="AF235" s="1">
        <v>0</v>
      </c>
      <c r="AG235" s="1">
        <v>0</v>
      </c>
      <c r="AH235" s="1">
        <v>0</v>
      </c>
      <c r="AI235" s="3">
        <v>41575</v>
      </c>
      <c r="AJ235" s="3">
        <v>41607</v>
      </c>
      <c r="AK235" s="6" t="s">
        <v>113</v>
      </c>
      <c r="AL235" s="6" t="s">
        <v>112</v>
      </c>
      <c r="AM235" s="1">
        <v>0</v>
      </c>
      <c r="AN235" s="1">
        <v>0</v>
      </c>
      <c r="AO235" s="1">
        <v>0</v>
      </c>
      <c r="AP235" s="1">
        <v>0</v>
      </c>
      <c r="AQ235" s="1">
        <v>0</v>
      </c>
      <c r="AR235" s="1">
        <v>0</v>
      </c>
      <c r="AS235" s="1"/>
      <c r="AT235" s="1"/>
      <c r="AU235" s="1">
        <v>2</v>
      </c>
      <c r="AV235" s="1">
        <v>1</v>
      </c>
      <c r="AW235" s="1"/>
      <c r="AX235" s="6" t="s">
        <v>45</v>
      </c>
      <c r="AY235" s="6" t="s">
        <v>45</v>
      </c>
      <c r="AZ235" s="6" t="s">
        <v>111</v>
      </c>
      <c r="BA235" s="6"/>
      <c r="BB235" s="6"/>
      <c r="BC235" s="6"/>
      <c r="BD235" s="6"/>
      <c r="BE235" s="6"/>
      <c r="BG235" s="1">
        <v>45</v>
      </c>
      <c r="BH235" s="1">
        <v>45</v>
      </c>
      <c r="BI235" s="1">
        <v>0</v>
      </c>
      <c r="BJ235" s="1">
        <v>0</v>
      </c>
      <c r="BK235" s="1">
        <f>BH235+BI235</f>
        <v>45</v>
      </c>
      <c r="BL235" s="1">
        <v>25</v>
      </c>
      <c r="BM235" s="1">
        <v>1.8</v>
      </c>
      <c r="BN235" s="1" t="s">
        <v>110</v>
      </c>
      <c r="BO235" s="1">
        <v>0</v>
      </c>
      <c r="BP235" s="1">
        <v>1</v>
      </c>
      <c r="BQ235" s="1">
        <v>1</v>
      </c>
      <c r="BR235" s="3">
        <v>41575</v>
      </c>
      <c r="BS235" s="1" t="s">
        <v>109</v>
      </c>
      <c r="BT235" s="12" t="s">
        <v>90</v>
      </c>
      <c r="BU235" s="1">
        <v>2</v>
      </c>
      <c r="BV235" s="1">
        <v>1</v>
      </c>
      <c r="BW235" s="1">
        <v>6.01</v>
      </c>
      <c r="BZ235" s="1">
        <v>14.3</v>
      </c>
      <c r="CA235" s="1">
        <v>213</v>
      </c>
      <c r="CB235" s="1">
        <v>1.53</v>
      </c>
      <c r="CE235" s="1">
        <v>0</v>
      </c>
      <c r="CF235" s="1" t="s">
        <v>45</v>
      </c>
      <c r="CH235" s="1" t="s">
        <v>45</v>
      </c>
      <c r="CI235" s="1" t="s">
        <v>45</v>
      </c>
      <c r="CJ235" s="1" t="s">
        <v>45</v>
      </c>
      <c r="CK235" s="1" t="s">
        <v>45</v>
      </c>
      <c r="CL235" s="1" t="s">
        <v>45</v>
      </c>
      <c r="CM235" s="1" t="s">
        <v>45</v>
      </c>
      <c r="CO235" s="1" t="s">
        <v>45</v>
      </c>
      <c r="CQ235" s="1" t="s">
        <v>45</v>
      </c>
      <c r="CR235" s="1" t="s">
        <v>45</v>
      </c>
      <c r="CS235" s="1" t="s">
        <v>45</v>
      </c>
      <c r="CT235" s="1" t="s">
        <v>45</v>
      </c>
      <c r="CU235" s="1" t="s">
        <v>45</v>
      </c>
      <c r="CV235" s="1" t="s">
        <v>45</v>
      </c>
      <c r="CW235" s="1" t="s">
        <v>45</v>
      </c>
      <c r="CX235" s="1" t="s">
        <v>45</v>
      </c>
      <c r="CY235" s="1" t="s">
        <v>45</v>
      </c>
      <c r="CZ235" s="1" t="s">
        <v>45</v>
      </c>
      <c r="DA235" s="1" t="s">
        <v>45</v>
      </c>
      <c r="DB235" s="2" t="s">
        <v>45</v>
      </c>
      <c r="DC235" s="1" t="s">
        <v>45</v>
      </c>
      <c r="DD235" s="1" t="s">
        <v>45</v>
      </c>
      <c r="DE235" s="1" t="s">
        <v>45</v>
      </c>
      <c r="DF235" s="1" t="s">
        <v>45</v>
      </c>
      <c r="DG235" s="1" t="s">
        <v>45</v>
      </c>
      <c r="DH235" s="7">
        <v>0</v>
      </c>
      <c r="DI235" s="7">
        <v>0</v>
      </c>
      <c r="DJ235" s="3">
        <v>42429</v>
      </c>
      <c r="DK235" s="1" t="s">
        <v>108</v>
      </c>
      <c r="DL235" s="1">
        <f>(DJ235-I235)/365.25*12</f>
        <v>28.057494866529773</v>
      </c>
      <c r="DM235" s="1">
        <v>1</v>
      </c>
      <c r="DN235" s="1" t="s">
        <v>107</v>
      </c>
      <c r="DO235" s="3">
        <v>42322</v>
      </c>
      <c r="DP235" s="6" t="s">
        <v>106</v>
      </c>
      <c r="DQ235" s="7">
        <v>1</v>
      </c>
      <c r="DR235" s="3">
        <v>42322</v>
      </c>
      <c r="DS235" s="10">
        <f>IF(DQ235=1, (DR235-$I235)/365.25*12, IF(DQ235=0, $DL235, "ERROR"))</f>
        <v>24.542094455852155</v>
      </c>
      <c r="DT235" s="7">
        <v>0</v>
      </c>
      <c r="DU235" s="7">
        <v>0</v>
      </c>
      <c r="DV235" s="7">
        <v>0</v>
      </c>
      <c r="DW235" s="16">
        <f>DU235*(1-DV235)</f>
        <v>0</v>
      </c>
      <c r="DX235" s="16">
        <f>(1-DU235)*DV235</f>
        <v>0</v>
      </c>
      <c r="DY235" s="16">
        <f>DU235*DV235</f>
        <v>0</v>
      </c>
      <c r="DZ235" s="3" t="s">
        <v>45</v>
      </c>
      <c r="EA235" s="10">
        <f>IF(DT235=1, (DZ235-$I235)/365.25*12, IF(DT235=0, $DL235, "ERROR"))</f>
        <v>28.057494866529773</v>
      </c>
      <c r="EB235" s="7">
        <v>0</v>
      </c>
      <c r="EC235" s="7">
        <v>0</v>
      </c>
      <c r="ED235" s="16">
        <f>1-((1-DQ235)*(1-DT235))</f>
        <v>1</v>
      </c>
      <c r="EE235" s="11">
        <f>MIN(DR235,DZ235)</f>
        <v>42322</v>
      </c>
      <c r="EF235" s="1" t="s">
        <v>105</v>
      </c>
      <c r="EG235" s="7" t="s">
        <v>45</v>
      </c>
      <c r="EH235" s="1" t="s">
        <v>45</v>
      </c>
      <c r="EI235" s="1">
        <v>0</v>
      </c>
      <c r="EJ235" s="16">
        <f>(1-DQ235)*DX235*(1-EI235)</f>
        <v>0</v>
      </c>
      <c r="EK235" s="1" t="s">
        <v>45</v>
      </c>
      <c r="EL235" s="10">
        <f>IF(EI235=1, (EK235-$I235)/365.25*12, IF(EI235=0, $DL235, "ERROR"))</f>
        <v>28.057494866529773</v>
      </c>
      <c r="EM235" s="1" t="s">
        <v>45</v>
      </c>
      <c r="EN235" s="1"/>
      <c r="EO235" s="1"/>
      <c r="EP235" s="1"/>
      <c r="EQ235" s="1"/>
      <c r="ER235" s="1"/>
      <c r="ES235" s="1"/>
      <c r="ET235" s="1"/>
      <c r="EU235" s="1"/>
      <c r="EV235" s="1"/>
      <c r="EW235" s="1"/>
      <c r="EX235" s="7">
        <v>0</v>
      </c>
      <c r="FB235" s="1" t="s">
        <v>45</v>
      </c>
      <c r="FC235" s="1">
        <v>1</v>
      </c>
      <c r="FD235" s="1">
        <v>1</v>
      </c>
      <c r="FF235" s="3">
        <v>42444</v>
      </c>
      <c r="FG235" s="3">
        <f>IF(FC235=1, FF235, IF(FD235=1, 44348, DJ235))</f>
        <v>42444</v>
      </c>
      <c r="FH235" s="13">
        <f>(FG235-I235)/365.25*12</f>
        <v>28.550308008213548</v>
      </c>
      <c r="FI235" s="13"/>
      <c r="FJ235" s="14">
        <f>IF(OR(DM235,FC235), 1, 0)</f>
        <v>1</v>
      </c>
      <c r="FK235" s="11">
        <f>IF(DM235=1,IF(FC235=1,MIN(DO235,FF235),DO235),IF(FC235=1,FF235,DJ235))</f>
        <v>42322</v>
      </c>
      <c r="FL235" s="13">
        <f>(FK235-$I235)/365.25*12</f>
        <v>24.542094455852155</v>
      </c>
      <c r="FM235" s="14">
        <f>IF(OR(ED235,FC235), 1, 0)</f>
        <v>1</v>
      </c>
      <c r="FN235" s="11">
        <f>IF(ED235=1,IF(FC235=1,MIN(EE235,FF235),EE235),IF(FC235=1,FF235,DJ235))</f>
        <v>42322</v>
      </c>
      <c r="FO235" s="13">
        <f>(FN235-$I235)/365.25*12</f>
        <v>24.542094455852155</v>
      </c>
      <c r="FP235" s="14">
        <f>IF(OR(EI235,FC235), 1, 0)</f>
        <v>1</v>
      </c>
      <c r="FQ235" s="11">
        <f>IF(EI235=1,IF(FC235=1,MIN(EK235,FF235),EK235),IF(FC235=1,FF235,DJ235))</f>
        <v>42444</v>
      </c>
      <c r="FR235" s="13">
        <f>(FQ235-$I235)/365.25*12</f>
        <v>28.550308008213548</v>
      </c>
      <c r="FU235" s="1">
        <v>1</v>
      </c>
      <c r="FV235" s="1">
        <v>1</v>
      </c>
      <c r="FW235" s="1">
        <v>1</v>
      </c>
      <c r="FX235" s="1">
        <v>0</v>
      </c>
    </row>
    <row r="236" spans="1:180" ht="12.75" hidden="1" customHeight="1">
      <c r="A236" s="1" t="s">
        <v>104</v>
      </c>
      <c r="B236" s="15" t="s">
        <v>103</v>
      </c>
      <c r="C236" s="1">
        <v>48782621</v>
      </c>
      <c r="D236" s="1">
        <v>1</v>
      </c>
      <c r="E236" s="1">
        <v>1</v>
      </c>
      <c r="G236" s="12">
        <v>1</v>
      </c>
      <c r="H236" s="1" t="s">
        <v>102</v>
      </c>
      <c r="I236" s="3">
        <v>42674</v>
      </c>
      <c r="J236" s="3">
        <v>42662</v>
      </c>
      <c r="K236" s="3">
        <v>16471</v>
      </c>
      <c r="L236" s="5">
        <f>(DAYS360(K236,I236))/365</f>
        <v>70.761643835616439</v>
      </c>
      <c r="M236" s="1" t="s">
        <v>5</v>
      </c>
      <c r="N236" s="1">
        <v>0</v>
      </c>
      <c r="O236" s="1">
        <v>0</v>
      </c>
      <c r="P236" s="1" t="s">
        <v>45</v>
      </c>
      <c r="R236" s="1" t="s">
        <v>101</v>
      </c>
      <c r="S236" s="1">
        <v>21</v>
      </c>
      <c r="AI236" s="3">
        <v>42674</v>
      </c>
      <c r="AJ236" s="3">
        <v>42706</v>
      </c>
      <c r="BA236" s="6"/>
      <c r="BB236" s="6"/>
      <c r="BC236" s="6"/>
      <c r="BD236" s="6"/>
      <c r="BE236" s="6"/>
      <c r="DS236" s="3"/>
      <c r="EI236" s="7"/>
      <c r="EN236" s="1"/>
      <c r="EO236" s="1"/>
      <c r="EP236" s="1"/>
      <c r="EQ236" s="1"/>
      <c r="ER236" s="1"/>
      <c r="ES236" s="1"/>
      <c r="ET236" s="1"/>
      <c r="EU236" s="1"/>
      <c r="EV236" s="1"/>
      <c r="EW236" s="1"/>
      <c r="FC236" s="1">
        <v>1</v>
      </c>
      <c r="FD236" s="1">
        <v>1</v>
      </c>
      <c r="FF236" s="3">
        <v>44118</v>
      </c>
      <c r="FG236" s="3">
        <f>IF(FC236=1, FF236, IF(FD236=1, 44348, DJ236))</f>
        <v>44118</v>
      </c>
      <c r="FH236" s="13">
        <f>(FG236-I236)/365.25*12</f>
        <v>47.441478439425055</v>
      </c>
      <c r="FI236" s="13"/>
      <c r="FJ236" s="14"/>
      <c r="FK236" s="11"/>
      <c r="FL236" s="13"/>
      <c r="FM236" s="14"/>
      <c r="FN236" s="11"/>
      <c r="FO236" s="13"/>
      <c r="FP236" s="14"/>
      <c r="FQ236" s="11"/>
      <c r="FR236" s="13"/>
    </row>
    <row r="237" spans="1:180" ht="12.75" hidden="1" customHeight="1">
      <c r="A237" s="1" t="s">
        <v>100</v>
      </c>
      <c r="B237" s="1" t="s">
        <v>99</v>
      </c>
      <c r="C237" s="1">
        <v>52173776</v>
      </c>
      <c r="D237" s="1">
        <v>1</v>
      </c>
      <c r="E237" s="1">
        <v>0</v>
      </c>
      <c r="G237" s="1">
        <v>1</v>
      </c>
      <c r="I237" s="3">
        <v>43570</v>
      </c>
      <c r="J237" s="3">
        <v>43553</v>
      </c>
      <c r="K237" s="3">
        <v>24589</v>
      </c>
      <c r="L237" s="5">
        <f>(DAYS360(K237,I237))/365</f>
        <v>51.254794520547946</v>
      </c>
      <c r="M237" s="1" t="s">
        <v>5</v>
      </c>
      <c r="N237" s="1">
        <v>1</v>
      </c>
      <c r="O237" s="1">
        <v>0</v>
      </c>
      <c r="P237" s="1" t="s">
        <v>69</v>
      </c>
      <c r="Q237" s="1">
        <v>1</v>
      </c>
      <c r="R237" s="1" t="s">
        <v>18</v>
      </c>
      <c r="S237" s="1">
        <v>26</v>
      </c>
      <c r="T237" s="1" t="s">
        <v>98</v>
      </c>
      <c r="U237" s="1">
        <v>1</v>
      </c>
      <c r="V237" s="1">
        <v>1</v>
      </c>
      <c r="W237" s="1">
        <v>0</v>
      </c>
      <c r="X237" s="1" t="s">
        <v>97</v>
      </c>
      <c r="Z237" s="1">
        <v>2</v>
      </c>
      <c r="AA237" s="1" t="s">
        <v>96</v>
      </c>
      <c r="AC237" s="1">
        <v>5</v>
      </c>
      <c r="AD237" s="1" t="s">
        <v>95</v>
      </c>
      <c r="AE237" s="1" t="s">
        <v>94</v>
      </c>
      <c r="AF237" s="1">
        <v>1</v>
      </c>
      <c r="AG237" s="1">
        <v>1</v>
      </c>
      <c r="AH237" s="1">
        <v>1</v>
      </c>
      <c r="AI237" s="3">
        <v>43570</v>
      </c>
      <c r="AJ237" s="3">
        <v>43607</v>
      </c>
      <c r="AK237" s="6" t="s">
        <v>93</v>
      </c>
      <c r="AM237" s="1">
        <v>0</v>
      </c>
      <c r="AN237" s="1">
        <v>0</v>
      </c>
      <c r="AO237" s="1">
        <v>0</v>
      </c>
      <c r="AP237" s="1">
        <v>0</v>
      </c>
      <c r="AQ237" s="1">
        <v>0</v>
      </c>
      <c r="AR237" s="1">
        <v>0</v>
      </c>
      <c r="AU237" s="1">
        <v>2</v>
      </c>
      <c r="AV237" s="1">
        <v>0.5</v>
      </c>
      <c r="AW237" s="1"/>
      <c r="AX237" s="6" t="s">
        <v>45</v>
      </c>
      <c r="AY237" s="6" t="s">
        <v>45</v>
      </c>
      <c r="AZ237" s="6" t="s">
        <v>92</v>
      </c>
      <c r="BA237" s="6"/>
      <c r="BB237" s="6"/>
      <c r="BC237" s="6"/>
      <c r="BD237" s="6"/>
      <c r="BE237" s="6"/>
      <c r="BG237" s="1">
        <v>45</v>
      </c>
      <c r="BH237" s="1">
        <v>45</v>
      </c>
      <c r="BI237" s="1">
        <v>0</v>
      </c>
      <c r="BJ237" s="1">
        <v>0</v>
      </c>
      <c r="BK237" s="1">
        <f>BH237+BI237</f>
        <v>45</v>
      </c>
      <c r="BL237" s="1">
        <v>25</v>
      </c>
      <c r="BM237" s="1">
        <v>1.8</v>
      </c>
      <c r="BN237" s="1" t="s">
        <v>62</v>
      </c>
      <c r="BO237" s="1">
        <v>1</v>
      </c>
      <c r="BP237" s="1">
        <v>1</v>
      </c>
      <c r="BQ237" s="1">
        <v>1</v>
      </c>
      <c r="BR237" s="3">
        <v>43556</v>
      </c>
      <c r="BS237" s="1" t="s">
        <v>91</v>
      </c>
      <c r="BT237" s="12" t="s">
        <v>90</v>
      </c>
      <c r="BU237" s="1">
        <v>2</v>
      </c>
      <c r="BV237" s="1">
        <v>1</v>
      </c>
      <c r="BW237" s="1">
        <v>11.3</v>
      </c>
      <c r="BZ237" s="1">
        <v>13</v>
      </c>
      <c r="CA237" s="1">
        <v>447</v>
      </c>
      <c r="CB237" s="1">
        <v>1.7</v>
      </c>
      <c r="CE237" s="1">
        <v>2</v>
      </c>
      <c r="CF237" s="3">
        <v>43648</v>
      </c>
      <c r="CG237" s="7">
        <f>CF237-AJ237</f>
        <v>41</v>
      </c>
      <c r="CH237" s="1" t="s">
        <v>89</v>
      </c>
      <c r="CI237" s="1" t="s">
        <v>45</v>
      </c>
      <c r="CJ237" s="1" t="s">
        <v>45</v>
      </c>
      <c r="CK237" s="1" t="s">
        <v>45</v>
      </c>
      <c r="CL237" s="1" t="s">
        <v>45</v>
      </c>
      <c r="CM237" s="1" t="s">
        <v>45</v>
      </c>
      <c r="CO237" s="1" t="s">
        <v>45</v>
      </c>
      <c r="CQ237" s="1" t="s">
        <v>45</v>
      </c>
      <c r="CR237" s="1" t="s">
        <v>45</v>
      </c>
      <c r="CS237" s="1" t="s">
        <v>45</v>
      </c>
      <c r="CT237" s="1" t="s">
        <v>45</v>
      </c>
      <c r="CU237" s="1" t="s">
        <v>45</v>
      </c>
      <c r="CV237" s="1" t="s">
        <v>45</v>
      </c>
      <c r="CW237" s="1" t="s">
        <v>45</v>
      </c>
      <c r="CX237" s="1" t="s">
        <v>45</v>
      </c>
      <c r="CY237" s="1" t="s">
        <v>45</v>
      </c>
      <c r="CZ237" s="1" t="s">
        <v>45</v>
      </c>
      <c r="DA237" s="1" t="s">
        <v>45</v>
      </c>
      <c r="DB237" s="2" t="s">
        <v>45</v>
      </c>
      <c r="DC237" s="1" t="s">
        <v>45</v>
      </c>
      <c r="DD237" s="1" t="s">
        <v>45</v>
      </c>
      <c r="DE237" s="1" t="s">
        <v>45</v>
      </c>
      <c r="DF237" s="1" t="s">
        <v>45</v>
      </c>
      <c r="DG237" s="1" t="s">
        <v>45</v>
      </c>
      <c r="DH237" s="7">
        <v>0</v>
      </c>
      <c r="DI237" s="7">
        <v>0</v>
      </c>
      <c r="DJ237" s="3">
        <v>43915</v>
      </c>
      <c r="DK237" s="1" t="s">
        <v>88</v>
      </c>
      <c r="DL237" s="1">
        <f>(DJ237-I237)/365.25*12</f>
        <v>11.3347022587269</v>
      </c>
      <c r="DM237" s="1">
        <v>1</v>
      </c>
      <c r="DN237" s="1" t="s">
        <v>87</v>
      </c>
      <c r="DO237" s="3">
        <v>43700</v>
      </c>
      <c r="DP237" s="6" t="s">
        <v>86</v>
      </c>
      <c r="DQ237" s="7">
        <v>1</v>
      </c>
      <c r="DR237" s="3">
        <v>43700</v>
      </c>
      <c r="DS237" s="10">
        <f>IF(DQ237=1, (DR237-$I237)/365.25*12, IF(DQ237=0, $DL237, "ERROR"))</f>
        <v>4.2710472279260774</v>
      </c>
      <c r="DT237" s="7">
        <v>1</v>
      </c>
      <c r="DU237" s="7">
        <v>1</v>
      </c>
      <c r="DV237" s="7">
        <v>0</v>
      </c>
      <c r="DW237" s="7">
        <f>DU237*(1-DV237)</f>
        <v>1</v>
      </c>
      <c r="DX237" s="7">
        <f>(1-DU237)*DV237</f>
        <v>0</v>
      </c>
      <c r="DY237" s="7">
        <f>DU237*DV237</f>
        <v>0</v>
      </c>
      <c r="DZ237" s="3">
        <v>43700</v>
      </c>
      <c r="EA237" s="10">
        <f>IF(DT237=1, (DZ237-$I237)/365.25*12, IF(DT237=0, $DL237, "ERROR"))</f>
        <v>4.2710472279260774</v>
      </c>
      <c r="EB237" s="7">
        <v>1</v>
      </c>
      <c r="EC237" s="7">
        <v>0</v>
      </c>
      <c r="ED237" s="7">
        <f>1-((1-DQ237)*(1-DT237))</f>
        <v>1</v>
      </c>
      <c r="EE237" s="11">
        <f>MIN(DR237,DZ237)</f>
        <v>43700</v>
      </c>
      <c r="EF237" s="1" t="s">
        <v>85</v>
      </c>
      <c r="EG237" s="7" t="s">
        <v>45</v>
      </c>
      <c r="EH237" s="1" t="s">
        <v>45</v>
      </c>
      <c r="EI237" s="1">
        <v>1</v>
      </c>
      <c r="EJ237" s="7">
        <f>(1-DQ237)*DX237*(1-EI237)</f>
        <v>0</v>
      </c>
      <c r="EK237" s="3">
        <v>43700</v>
      </c>
      <c r="EL237" s="10">
        <f>IF(EI237=1, (EK237-$I237)/365.25*12, IF(EI237=0, $DL237, "ERROR"))</f>
        <v>4.2710472279260774</v>
      </c>
      <c r="EM237" s="1" t="s">
        <v>84</v>
      </c>
      <c r="EN237" s="1"/>
      <c r="EO237" s="1"/>
      <c r="EP237" s="1"/>
      <c r="EQ237" s="1"/>
      <c r="ER237" s="1"/>
      <c r="ES237" s="1"/>
      <c r="ET237" s="1"/>
      <c r="EU237" s="1"/>
      <c r="EV237" s="1"/>
      <c r="EW237" s="1"/>
      <c r="EX237" s="7">
        <v>1</v>
      </c>
      <c r="FB237" s="1" t="s">
        <v>45</v>
      </c>
      <c r="FI237" s="2"/>
      <c r="FU237" s="1">
        <v>0</v>
      </c>
      <c r="FV237" s="1">
        <v>0</v>
      </c>
      <c r="FW237" s="1">
        <v>0</v>
      </c>
      <c r="FX237" s="1">
        <v>0</v>
      </c>
    </row>
    <row r="238" spans="1:180" ht="12.75" hidden="1" customHeight="1">
      <c r="A238" s="1" t="s">
        <v>83</v>
      </c>
      <c r="B238" s="1" t="s">
        <v>82</v>
      </c>
      <c r="C238" s="1">
        <v>52465730</v>
      </c>
      <c r="D238" s="1">
        <v>1</v>
      </c>
      <c r="E238" s="1">
        <v>0</v>
      </c>
      <c r="G238" s="1">
        <v>1</v>
      </c>
      <c r="I238" s="3">
        <v>43635</v>
      </c>
      <c r="J238" s="3">
        <v>43621</v>
      </c>
      <c r="K238" s="3">
        <v>17275</v>
      </c>
      <c r="L238" s="5">
        <f>(DAYS360(K238,I238))/365</f>
        <v>71.180821917808217</v>
      </c>
      <c r="M238" s="1" t="s">
        <v>5</v>
      </c>
      <c r="N238" s="1">
        <v>1</v>
      </c>
      <c r="O238" s="1">
        <v>0</v>
      </c>
      <c r="P238" s="1" t="s">
        <v>81</v>
      </c>
      <c r="Q238" s="1">
        <v>2</v>
      </c>
      <c r="R238" s="1" t="s">
        <v>18</v>
      </c>
      <c r="S238" s="1">
        <v>30</v>
      </c>
      <c r="T238" s="1" t="s">
        <v>80</v>
      </c>
      <c r="U238" s="1">
        <v>0</v>
      </c>
      <c r="V238" s="1">
        <v>1</v>
      </c>
      <c r="W238" s="1">
        <v>0</v>
      </c>
      <c r="X238" s="1" t="s">
        <v>79</v>
      </c>
      <c r="Y238" s="1">
        <v>3</v>
      </c>
      <c r="Z238" s="1">
        <v>0</v>
      </c>
      <c r="AA238" s="1" t="s">
        <v>65</v>
      </c>
      <c r="AC238" s="1">
        <v>2</v>
      </c>
      <c r="AD238" s="1" t="s">
        <v>64</v>
      </c>
      <c r="AE238" s="1" t="s">
        <v>64</v>
      </c>
      <c r="AF238" s="1">
        <v>0</v>
      </c>
      <c r="AG238" s="1">
        <v>0</v>
      </c>
      <c r="AH238" s="1">
        <v>0</v>
      </c>
      <c r="AI238" s="3">
        <v>43635</v>
      </c>
      <c r="AJ238" s="3">
        <v>43669</v>
      </c>
      <c r="AK238" s="6" t="s">
        <v>63</v>
      </c>
      <c r="AM238" s="1">
        <v>0</v>
      </c>
      <c r="AN238" s="1">
        <v>0</v>
      </c>
      <c r="AO238" s="1">
        <v>0</v>
      </c>
      <c r="AP238" s="1">
        <v>0</v>
      </c>
      <c r="AQ238" s="1">
        <v>1</v>
      </c>
      <c r="AR238" s="1">
        <v>1</v>
      </c>
      <c r="AU238" s="1">
        <v>2</v>
      </c>
      <c r="AV238" s="1">
        <v>0.5</v>
      </c>
      <c r="AW238" s="1"/>
      <c r="AX238" s="6" t="s">
        <v>45</v>
      </c>
      <c r="AY238" s="6" t="s">
        <v>45</v>
      </c>
      <c r="AZ238" s="1">
        <v>1</v>
      </c>
      <c r="BA238" s="6"/>
      <c r="BB238" s="6"/>
      <c r="BC238" s="6"/>
      <c r="BD238" s="6"/>
      <c r="BE238" s="6"/>
      <c r="BG238" s="1">
        <v>45</v>
      </c>
      <c r="BH238" s="1">
        <v>45</v>
      </c>
      <c r="BI238" s="1">
        <v>0</v>
      </c>
      <c r="BJ238" s="1">
        <v>0</v>
      </c>
      <c r="BK238" s="1">
        <f>BH238+BI238</f>
        <v>45</v>
      </c>
      <c r="BL238" s="1">
        <v>25</v>
      </c>
      <c r="BM238" s="1">
        <v>1.8</v>
      </c>
      <c r="BN238" s="1" t="s">
        <v>62</v>
      </c>
      <c r="BO238" s="1">
        <v>1</v>
      </c>
      <c r="BP238" s="1">
        <v>1</v>
      </c>
      <c r="BQ238" s="1">
        <v>1</v>
      </c>
      <c r="BR238" s="3">
        <v>43635</v>
      </c>
      <c r="BS238" s="12" t="s">
        <v>78</v>
      </c>
      <c r="BT238" s="12" t="s">
        <v>77</v>
      </c>
      <c r="BU238" s="12">
        <v>6</v>
      </c>
      <c r="BV238" s="1">
        <v>1</v>
      </c>
      <c r="BW238" s="1">
        <v>13.02</v>
      </c>
      <c r="BZ238" s="1">
        <v>15.9</v>
      </c>
      <c r="CA238" s="1">
        <v>288</v>
      </c>
      <c r="CB238" s="1">
        <v>1.64</v>
      </c>
      <c r="CE238" s="1">
        <v>0</v>
      </c>
      <c r="CF238" s="1" t="s">
        <v>45</v>
      </c>
      <c r="CH238" s="1" t="s">
        <v>76</v>
      </c>
      <c r="CI238" s="1" t="s">
        <v>45</v>
      </c>
      <c r="CJ238" s="1" t="s">
        <v>45</v>
      </c>
      <c r="CK238" s="1" t="s">
        <v>45</v>
      </c>
      <c r="CL238" s="1" t="s">
        <v>45</v>
      </c>
      <c r="CM238" s="1" t="s">
        <v>45</v>
      </c>
      <c r="CO238" s="1" t="s">
        <v>45</v>
      </c>
      <c r="CQ238" s="1" t="s">
        <v>45</v>
      </c>
      <c r="CR238" s="1" t="s">
        <v>45</v>
      </c>
      <c r="CS238" s="1" t="s">
        <v>45</v>
      </c>
      <c r="CT238" s="1" t="s">
        <v>45</v>
      </c>
      <c r="CU238" s="1" t="s">
        <v>45</v>
      </c>
      <c r="CV238" s="1" t="s">
        <v>45</v>
      </c>
      <c r="CW238" s="1" t="s">
        <v>45</v>
      </c>
      <c r="CX238" s="1" t="s">
        <v>45</v>
      </c>
      <c r="CY238" s="1" t="s">
        <v>45</v>
      </c>
      <c r="CZ238" s="1" t="s">
        <v>45</v>
      </c>
      <c r="DA238" s="1" t="s">
        <v>45</v>
      </c>
      <c r="DB238" s="2" t="s">
        <v>45</v>
      </c>
      <c r="DC238" s="1" t="s">
        <v>45</v>
      </c>
      <c r="DD238" s="1" t="s">
        <v>45</v>
      </c>
      <c r="DE238" s="1" t="s">
        <v>45</v>
      </c>
      <c r="DF238" s="1" t="s">
        <v>45</v>
      </c>
      <c r="DG238" s="1" t="s">
        <v>45</v>
      </c>
      <c r="DH238" s="7">
        <v>0</v>
      </c>
      <c r="DI238" s="7">
        <v>0</v>
      </c>
      <c r="DJ238" s="3">
        <v>44204</v>
      </c>
      <c r="DK238" s="1" t="s">
        <v>75</v>
      </c>
      <c r="DL238" s="1">
        <f>(DJ238-I238)/365.25*12</f>
        <v>18.69404517453799</v>
      </c>
      <c r="DM238" s="1">
        <v>0</v>
      </c>
      <c r="DN238" s="1" t="s">
        <v>45</v>
      </c>
      <c r="DO238" s="1" t="s">
        <v>45</v>
      </c>
      <c r="DP238" s="6" t="s">
        <v>45</v>
      </c>
      <c r="DQ238" s="7">
        <v>0</v>
      </c>
      <c r="DR238" s="3" t="s">
        <v>45</v>
      </c>
      <c r="DS238" s="10">
        <f>IF(DQ238=1, (DR238-$I238)/365.25*12, IF(DQ238=0, $DL238, "ERROR"))</f>
        <v>18.69404517453799</v>
      </c>
      <c r="DT238" s="7">
        <v>0</v>
      </c>
      <c r="DU238" s="7">
        <v>0</v>
      </c>
      <c r="DV238" s="7">
        <v>0</v>
      </c>
      <c r="DW238" s="7">
        <f>DU238*(1-DV238)</f>
        <v>0</v>
      </c>
      <c r="DX238" s="7">
        <f>(1-DU238)*DV238</f>
        <v>0</v>
      </c>
      <c r="DY238" s="7">
        <f>DU238*DV238</f>
        <v>0</v>
      </c>
      <c r="DZ238" s="3" t="s">
        <v>45</v>
      </c>
      <c r="EA238" s="10">
        <f>IF(DT238=1, (DZ238-$I238)/365.25*12, IF(DT238=0, $DL238, "ERROR"))</f>
        <v>18.69404517453799</v>
      </c>
      <c r="EB238" s="7">
        <v>0</v>
      </c>
      <c r="EC238" s="7">
        <v>0</v>
      </c>
      <c r="ED238" s="7">
        <f>1-((1-DQ238)*(1-DT238))</f>
        <v>0</v>
      </c>
      <c r="EE238" s="3" t="s">
        <v>45</v>
      </c>
      <c r="EF238" s="1" t="s">
        <v>45</v>
      </c>
      <c r="EG238" s="7" t="s">
        <v>45</v>
      </c>
      <c r="EH238" s="1" t="s">
        <v>45</v>
      </c>
      <c r="EI238" s="1">
        <v>0</v>
      </c>
      <c r="EJ238" s="7">
        <f>(1-DQ238)*DX238*(1-EI238)</f>
        <v>0</v>
      </c>
      <c r="EK238" s="1" t="s">
        <v>45</v>
      </c>
      <c r="EL238" s="10">
        <f>IF(EI238=1, (EK238-$I238)/365.25*12, IF(EI238=0, $DL238, "ERROR"))</f>
        <v>18.69404517453799</v>
      </c>
      <c r="EM238" s="1" t="s">
        <v>45</v>
      </c>
      <c r="EN238" s="1"/>
      <c r="EO238" s="1"/>
      <c r="EP238" s="1"/>
      <c r="EQ238" s="1"/>
      <c r="ER238" s="1"/>
      <c r="ES238" s="1"/>
      <c r="ET238" s="1"/>
      <c r="EU238" s="1"/>
      <c r="EV238" s="1"/>
      <c r="EW238" s="1"/>
      <c r="EX238" s="7">
        <v>0</v>
      </c>
      <c r="FB238" s="1" t="s">
        <v>45</v>
      </c>
      <c r="FI238" s="2"/>
      <c r="FU238" s="1">
        <v>0</v>
      </c>
      <c r="FV238" s="1">
        <v>0</v>
      </c>
      <c r="FW238" s="1">
        <v>0</v>
      </c>
      <c r="FX238" s="1">
        <v>0</v>
      </c>
    </row>
    <row r="239" spans="1:180" ht="12.75" hidden="1" customHeight="1">
      <c r="A239" s="1" t="s">
        <v>74</v>
      </c>
      <c r="B239" s="1" t="s">
        <v>73</v>
      </c>
      <c r="C239" s="1">
        <v>49563195</v>
      </c>
      <c r="D239" s="1">
        <v>1</v>
      </c>
      <c r="E239" s="1">
        <v>1</v>
      </c>
      <c r="G239" s="1">
        <v>1</v>
      </c>
      <c r="H239" s="1" t="s">
        <v>72</v>
      </c>
      <c r="I239" s="3">
        <v>43668</v>
      </c>
      <c r="J239" s="3">
        <v>43636</v>
      </c>
      <c r="K239" s="3">
        <v>21196</v>
      </c>
      <c r="L239" s="5">
        <f>(DAYS360(K239,I239))/365</f>
        <v>60.68767123287671</v>
      </c>
      <c r="M239" s="1" t="s">
        <v>5</v>
      </c>
      <c r="N239" s="1">
        <v>1</v>
      </c>
      <c r="O239" s="1">
        <v>0</v>
      </c>
      <c r="P239" s="1" t="s">
        <v>69</v>
      </c>
      <c r="R239" s="1" t="s">
        <v>18</v>
      </c>
      <c r="AI239" s="3">
        <v>43668</v>
      </c>
      <c r="AJ239" s="3">
        <v>43703</v>
      </c>
      <c r="BA239" s="6"/>
      <c r="BB239" s="6"/>
      <c r="BC239" s="6"/>
      <c r="BD239" s="6"/>
      <c r="BE239" s="6"/>
      <c r="BP239" s="1">
        <v>1</v>
      </c>
      <c r="CE239" s="1">
        <v>1</v>
      </c>
      <c r="CF239" s="3">
        <v>43739</v>
      </c>
      <c r="CG239" s="7">
        <f>CF239-AJ239</f>
        <v>36</v>
      </c>
      <c r="DS239" s="3"/>
      <c r="EI239" s="7"/>
      <c r="EN239" s="1"/>
      <c r="EO239" s="1"/>
      <c r="EP239" s="1"/>
      <c r="EQ239" s="1"/>
      <c r="ER239" s="1"/>
      <c r="ES239" s="1"/>
      <c r="ET239" s="1"/>
      <c r="EU239" s="1"/>
      <c r="EV239" s="1"/>
      <c r="EW239" s="1"/>
      <c r="FI239" s="2"/>
    </row>
    <row r="240" spans="1:180" ht="12.75" hidden="1" customHeight="1">
      <c r="A240" s="1" t="s">
        <v>71</v>
      </c>
      <c r="B240" s="1" t="s">
        <v>70</v>
      </c>
      <c r="C240" s="1">
        <v>26642730</v>
      </c>
      <c r="D240" s="1">
        <v>1</v>
      </c>
      <c r="E240" s="1">
        <v>0</v>
      </c>
      <c r="G240" s="1">
        <v>1</v>
      </c>
      <c r="I240" s="3">
        <v>43782</v>
      </c>
      <c r="J240" s="3">
        <v>43748</v>
      </c>
      <c r="K240" s="3">
        <v>17901</v>
      </c>
      <c r="L240" s="5">
        <f>(DAYS360(K240,I240))/365</f>
        <v>69.890410958904113</v>
      </c>
      <c r="M240" s="1" t="s">
        <v>5</v>
      </c>
      <c r="N240" s="1">
        <v>1</v>
      </c>
      <c r="O240" s="1">
        <v>0</v>
      </c>
      <c r="P240" s="1" t="s">
        <v>69</v>
      </c>
      <c r="Q240" s="1">
        <v>1</v>
      </c>
      <c r="R240" s="1" t="s">
        <v>18</v>
      </c>
      <c r="S240" s="1" t="s">
        <v>68</v>
      </c>
      <c r="T240" s="1" t="s">
        <v>67</v>
      </c>
      <c r="U240" s="1">
        <v>0</v>
      </c>
      <c r="V240" s="1">
        <v>0</v>
      </c>
      <c r="W240" s="1">
        <v>1</v>
      </c>
      <c r="X240" s="1" t="s">
        <v>66</v>
      </c>
      <c r="Y240" s="1">
        <v>3</v>
      </c>
      <c r="Z240" s="1">
        <v>0</v>
      </c>
      <c r="AA240" s="1" t="s">
        <v>65</v>
      </c>
      <c r="AC240" s="1">
        <v>2</v>
      </c>
      <c r="AD240" s="1" t="s">
        <v>64</v>
      </c>
      <c r="AE240" s="1" t="s">
        <v>64</v>
      </c>
      <c r="AF240" s="1">
        <v>0</v>
      </c>
      <c r="AG240" s="1">
        <v>0</v>
      </c>
      <c r="AH240" s="1">
        <v>0</v>
      </c>
      <c r="AI240" s="3">
        <v>43782</v>
      </c>
      <c r="AJ240" s="3">
        <v>43816</v>
      </c>
      <c r="AK240" s="6" t="s">
        <v>63</v>
      </c>
      <c r="AM240" s="1">
        <v>0</v>
      </c>
      <c r="AN240" s="1">
        <v>0</v>
      </c>
      <c r="AO240" s="1">
        <v>0</v>
      </c>
      <c r="AP240" s="1">
        <v>0</v>
      </c>
      <c r="AQ240" s="1">
        <v>1</v>
      </c>
      <c r="AR240" s="1">
        <v>1</v>
      </c>
      <c r="AU240" s="1">
        <v>2</v>
      </c>
      <c r="AV240" s="1">
        <v>0.5</v>
      </c>
      <c r="AW240" s="1"/>
      <c r="AX240" s="6" t="s">
        <v>45</v>
      </c>
      <c r="AY240" s="6" t="s">
        <v>45</v>
      </c>
      <c r="AZ240" s="1">
        <v>0.7</v>
      </c>
      <c r="BA240" s="6"/>
      <c r="BB240" s="6"/>
      <c r="BC240" s="6"/>
      <c r="BD240" s="6"/>
      <c r="BE240" s="6"/>
      <c r="BG240" s="1">
        <v>45</v>
      </c>
      <c r="BH240" s="1">
        <v>45</v>
      </c>
      <c r="BI240" s="1">
        <v>0</v>
      </c>
      <c r="BJ240" s="1">
        <v>0</v>
      </c>
      <c r="BK240" s="1">
        <f>BH240+BI240</f>
        <v>45</v>
      </c>
      <c r="BL240" s="1">
        <v>25</v>
      </c>
      <c r="BM240" s="1">
        <v>1.8</v>
      </c>
      <c r="BN240" s="1" t="s">
        <v>62</v>
      </c>
      <c r="BO240" s="1">
        <v>1</v>
      </c>
      <c r="BP240" s="1">
        <v>1</v>
      </c>
      <c r="BQ240" s="1">
        <v>1</v>
      </c>
      <c r="BR240" s="3">
        <v>43782</v>
      </c>
      <c r="BS240" s="1" t="s">
        <v>61</v>
      </c>
      <c r="BT240" s="12" t="s">
        <v>60</v>
      </c>
      <c r="BU240" s="1">
        <v>5</v>
      </c>
      <c r="BV240" s="1">
        <v>1</v>
      </c>
      <c r="BW240" s="1">
        <v>6.47</v>
      </c>
      <c r="BZ240" s="1">
        <v>14.4</v>
      </c>
      <c r="CA240" s="1">
        <v>217</v>
      </c>
      <c r="CB240" s="1">
        <v>1.93</v>
      </c>
      <c r="CE240" s="1">
        <v>0</v>
      </c>
      <c r="CF240" s="1" t="s">
        <v>45</v>
      </c>
      <c r="CH240" s="1" t="s">
        <v>59</v>
      </c>
      <c r="CI240" s="1" t="s">
        <v>45</v>
      </c>
      <c r="CJ240" s="1" t="s">
        <v>45</v>
      </c>
      <c r="CK240" s="1" t="s">
        <v>45</v>
      </c>
      <c r="CL240" s="1" t="s">
        <v>45</v>
      </c>
      <c r="CM240" s="1" t="s">
        <v>45</v>
      </c>
      <c r="CO240" s="1" t="s">
        <v>45</v>
      </c>
      <c r="CQ240" s="1" t="s">
        <v>45</v>
      </c>
      <c r="CR240" s="1" t="s">
        <v>45</v>
      </c>
      <c r="CS240" s="1" t="s">
        <v>45</v>
      </c>
      <c r="CT240" s="1" t="s">
        <v>45</v>
      </c>
      <c r="CU240" s="1" t="s">
        <v>45</v>
      </c>
      <c r="CV240" s="1" t="s">
        <v>45</v>
      </c>
      <c r="CW240" s="1" t="s">
        <v>45</v>
      </c>
      <c r="CX240" s="1" t="s">
        <v>45</v>
      </c>
      <c r="CY240" s="1" t="s">
        <v>45</v>
      </c>
      <c r="CZ240" s="1" t="s">
        <v>45</v>
      </c>
      <c r="DA240" s="1" t="s">
        <v>45</v>
      </c>
      <c r="DB240" s="2" t="s">
        <v>45</v>
      </c>
      <c r="DC240" s="1" t="s">
        <v>45</v>
      </c>
      <c r="DD240" s="1" t="s">
        <v>45</v>
      </c>
      <c r="DE240" s="1" t="s">
        <v>45</v>
      </c>
      <c r="DF240" s="1" t="s">
        <v>45</v>
      </c>
      <c r="DG240" s="1" t="s">
        <v>45</v>
      </c>
      <c r="DH240" s="7">
        <v>0</v>
      </c>
      <c r="DI240" s="7">
        <v>0</v>
      </c>
      <c r="DJ240" s="3">
        <v>44168</v>
      </c>
      <c r="DK240" s="1" t="s">
        <v>58</v>
      </c>
      <c r="DL240" s="1">
        <f>(DJ240-I240)/365.25*12</f>
        <v>12.681724845995893</v>
      </c>
      <c r="DM240" s="1">
        <v>1</v>
      </c>
      <c r="DN240" s="1" t="s">
        <v>57</v>
      </c>
      <c r="DO240" s="3">
        <v>43955</v>
      </c>
      <c r="DP240" s="6" t="s">
        <v>56</v>
      </c>
      <c r="DQ240" s="7">
        <v>0</v>
      </c>
      <c r="DR240" s="3" t="s">
        <v>45</v>
      </c>
      <c r="DS240" s="10">
        <f>IF(DQ240=1, (DR240-$I240)/365.25*12, IF(DQ240=0, $DL240, "ERROR"))</f>
        <v>12.681724845995893</v>
      </c>
      <c r="DT240" s="7">
        <v>1</v>
      </c>
      <c r="DU240" s="7">
        <v>0</v>
      </c>
      <c r="DV240" s="7">
        <v>1</v>
      </c>
      <c r="DW240" s="7">
        <f>DU240*(1-DV240)</f>
        <v>0</v>
      </c>
      <c r="DX240" s="7">
        <f>(1-DU240)*DV240</f>
        <v>1</v>
      </c>
      <c r="DY240" s="7">
        <f>DU240*DV240</f>
        <v>0</v>
      </c>
      <c r="DZ240" s="3">
        <v>43955</v>
      </c>
      <c r="EA240" s="10">
        <f>IF(DT240=1, (DZ240-$I240)/365.25*12, IF(DT240=0, $DL240, "ERROR"))</f>
        <v>5.6837782340862422</v>
      </c>
      <c r="EB240" s="7">
        <v>0</v>
      </c>
      <c r="EC240" s="7">
        <v>1</v>
      </c>
      <c r="ED240" s="7">
        <f>1-((1-DQ240)*(1-DT240))</f>
        <v>1</v>
      </c>
      <c r="EE240" s="11">
        <f>MIN(DR240,DZ240)</f>
        <v>43955</v>
      </c>
      <c r="EF240" s="1" t="s">
        <v>55</v>
      </c>
      <c r="EG240" s="7" t="s">
        <v>45</v>
      </c>
      <c r="EH240" s="1" t="s">
        <v>45</v>
      </c>
      <c r="EI240" s="1">
        <v>1</v>
      </c>
      <c r="EJ240" s="7">
        <f>(1-DQ240)*DX240*(1-EI240)</f>
        <v>0</v>
      </c>
      <c r="EK240" s="3">
        <v>43955</v>
      </c>
      <c r="EL240" s="10">
        <f>IF(EI240=1, (EK240-$I240)/365.25*12, IF(EI240=0, $DL240, "ERROR"))</f>
        <v>5.6837782340862422</v>
      </c>
      <c r="EM240" s="1" t="s">
        <v>54</v>
      </c>
      <c r="EN240" s="1"/>
      <c r="EO240" s="1"/>
      <c r="EP240" s="1"/>
      <c r="EQ240" s="1"/>
      <c r="ER240" s="1"/>
      <c r="ES240" s="1"/>
      <c r="ET240" s="1"/>
      <c r="EU240" s="1"/>
      <c r="EV240" s="1"/>
      <c r="EW240" s="1"/>
      <c r="EX240" s="7">
        <v>1</v>
      </c>
      <c r="FB240" s="1" t="s">
        <v>45</v>
      </c>
      <c r="FI240" s="2"/>
      <c r="FU240" s="1">
        <v>0</v>
      </c>
      <c r="FV240" s="1">
        <v>0</v>
      </c>
      <c r="FW240" s="1">
        <v>0</v>
      </c>
      <c r="FX240" s="1">
        <v>0</v>
      </c>
    </row>
    <row r="241" spans="1:165" ht="12.75" hidden="1" customHeight="1">
      <c r="A241" s="1" t="s">
        <v>53</v>
      </c>
      <c r="B241" s="1" t="s">
        <v>52</v>
      </c>
      <c r="C241" s="1">
        <v>34725270</v>
      </c>
      <c r="D241" s="1">
        <v>1</v>
      </c>
      <c r="E241" s="1">
        <v>1</v>
      </c>
      <c r="G241" s="1">
        <v>1</v>
      </c>
      <c r="H241" s="1" t="s">
        <v>51</v>
      </c>
      <c r="I241" s="3">
        <v>43822</v>
      </c>
      <c r="J241" s="3">
        <v>43791</v>
      </c>
      <c r="K241" s="3">
        <v>21313</v>
      </c>
      <c r="L241" s="5">
        <f>(DAYS360(K241,I241))/365</f>
        <v>60.780821917808218</v>
      </c>
      <c r="M241" s="1" t="s">
        <v>5</v>
      </c>
      <c r="N241" s="1">
        <v>1</v>
      </c>
      <c r="AI241" s="3">
        <v>43822</v>
      </c>
      <c r="AJ241" s="3">
        <v>43861</v>
      </c>
      <c r="AM241" s="6" t="s">
        <v>50</v>
      </c>
      <c r="AN241" s="6" t="s">
        <v>50</v>
      </c>
      <c r="AO241" s="6" t="s">
        <v>50</v>
      </c>
      <c r="AP241" s="6" t="s">
        <v>50</v>
      </c>
      <c r="AQ241" s="6" t="s">
        <v>49</v>
      </c>
      <c r="AR241" s="6" t="s">
        <v>49</v>
      </c>
      <c r="AU241" s="6" t="s">
        <v>48</v>
      </c>
      <c r="AV241" s="6" t="s">
        <v>47</v>
      </c>
      <c r="AX241" s="6" t="s">
        <v>45</v>
      </c>
      <c r="AY241" s="6" t="s">
        <v>45</v>
      </c>
      <c r="AZ241" s="6" t="s">
        <v>46</v>
      </c>
      <c r="BA241" s="6"/>
      <c r="BB241" s="6"/>
      <c r="BC241" s="6"/>
      <c r="BD241" s="6"/>
      <c r="BE241" s="6"/>
      <c r="BP241" s="1">
        <v>1</v>
      </c>
      <c r="CE241" s="1">
        <v>0</v>
      </c>
      <c r="CF241" s="1" t="s">
        <v>45</v>
      </c>
      <c r="CH241" s="1" t="s">
        <v>44</v>
      </c>
      <c r="DS241" s="3"/>
      <c r="EI241" s="7"/>
      <c r="EN241" s="1"/>
      <c r="EO241" s="1"/>
      <c r="EP241" s="1"/>
      <c r="EQ241" s="1"/>
      <c r="ER241" s="1"/>
      <c r="ES241" s="1"/>
      <c r="ET241" s="1"/>
      <c r="EU241" s="1"/>
      <c r="EV241" s="1"/>
      <c r="EW241" s="1"/>
      <c r="FI241" s="2"/>
    </row>
    <row r="242" spans="1:165" ht="12.75" hidden="1" customHeight="1">
      <c r="A242" s="1" t="s">
        <v>43</v>
      </c>
      <c r="B242" s="9" t="s">
        <v>42</v>
      </c>
      <c r="C242" s="1">
        <v>52053430</v>
      </c>
      <c r="D242" s="1">
        <v>1</v>
      </c>
      <c r="E242" s="1">
        <v>1</v>
      </c>
      <c r="G242" s="1">
        <v>1</v>
      </c>
      <c r="H242" s="1" t="s">
        <v>41</v>
      </c>
      <c r="I242" s="3">
        <v>43545</v>
      </c>
      <c r="J242" s="3">
        <v>43531</v>
      </c>
      <c r="K242" s="3">
        <v>17371</v>
      </c>
      <c r="L242" s="5">
        <f>(DAYS360(K242,I242))/365</f>
        <v>70.679452054794524</v>
      </c>
      <c r="M242" s="1" t="s">
        <v>5</v>
      </c>
      <c r="N242" s="1">
        <v>1</v>
      </c>
      <c r="AI242" s="3">
        <v>43545</v>
      </c>
      <c r="AJ242" s="3">
        <v>43558</v>
      </c>
      <c r="BA242" s="6"/>
      <c r="BB242" s="6"/>
      <c r="BC242" s="6"/>
      <c r="BD242" s="6"/>
      <c r="BE242" s="6"/>
      <c r="BP242" s="1">
        <v>0</v>
      </c>
      <c r="DS242" s="3"/>
      <c r="EI242" s="7"/>
      <c r="EN242" s="1"/>
      <c r="EO242" s="1"/>
      <c r="EP242" s="1"/>
      <c r="EQ242" s="1"/>
      <c r="ER242" s="1"/>
      <c r="ES242" s="1"/>
      <c r="ET242" s="1"/>
      <c r="EU242" s="1"/>
      <c r="EV242" s="1"/>
      <c r="EW242" s="1"/>
      <c r="FI242" s="2"/>
    </row>
    <row r="243" spans="1:165" ht="12.75" hidden="1" customHeight="1">
      <c r="A243" s="1" t="s">
        <v>40</v>
      </c>
      <c r="B243" s="1" t="s">
        <v>39</v>
      </c>
      <c r="C243" s="1">
        <v>48494816</v>
      </c>
      <c r="D243" s="1">
        <v>1</v>
      </c>
      <c r="E243" s="1">
        <v>1</v>
      </c>
      <c r="G243" s="1">
        <v>1</v>
      </c>
      <c r="H243" s="1" t="s">
        <v>38</v>
      </c>
      <c r="I243" s="3">
        <v>43858</v>
      </c>
      <c r="J243" s="3">
        <v>43825</v>
      </c>
      <c r="K243" s="3">
        <v>21883</v>
      </c>
      <c r="L243" s="5">
        <f>(DAYS360(K243,I243))/365</f>
        <v>59.339726027397262</v>
      </c>
      <c r="M243" s="1" t="s">
        <v>5</v>
      </c>
      <c r="AI243" s="3">
        <v>43858</v>
      </c>
      <c r="AJ243" s="3">
        <v>43887</v>
      </c>
      <c r="AM243" s="7"/>
      <c r="AN243" s="7"/>
      <c r="AO243" s="7"/>
      <c r="AP243" s="7"/>
      <c r="AQ243" s="7"/>
      <c r="AR243" s="7"/>
      <c r="AS243" s="7"/>
      <c r="AT243" s="7"/>
      <c r="AU243" s="7"/>
      <c r="AV243" s="7"/>
      <c r="AW243" s="7"/>
      <c r="AX243" s="7"/>
      <c r="AY243" s="7"/>
      <c r="AZ243" s="7"/>
      <c r="BA243" s="7"/>
      <c r="BB243" s="7"/>
      <c r="BC243" s="7"/>
      <c r="BD243" s="7"/>
      <c r="BE243" s="7"/>
      <c r="EN243" s="1"/>
      <c r="EO243" s="1"/>
      <c r="EP243" s="1"/>
      <c r="EQ243" s="1"/>
      <c r="ER243" s="1"/>
      <c r="ES243" s="1"/>
      <c r="ET243" s="1"/>
      <c r="EU243" s="1"/>
      <c r="EV243" s="1"/>
      <c r="EW243" s="1"/>
      <c r="FI243" s="2"/>
    </row>
    <row r="244" spans="1:165" ht="12.75" hidden="1" customHeight="1">
      <c r="A244" s="1" t="s">
        <v>37</v>
      </c>
      <c r="B244" s="1" t="s">
        <v>36</v>
      </c>
      <c r="C244" s="1">
        <v>53471536</v>
      </c>
      <c r="D244" s="1">
        <v>1</v>
      </c>
      <c r="E244" s="1">
        <v>1</v>
      </c>
      <c r="G244" s="1">
        <v>1</v>
      </c>
      <c r="H244" s="1" t="s">
        <v>35</v>
      </c>
      <c r="I244" s="3">
        <v>43893</v>
      </c>
      <c r="J244" s="3">
        <v>43874</v>
      </c>
      <c r="K244" s="3">
        <v>19244</v>
      </c>
      <c r="L244" s="5">
        <f>(DAYS360(K244,I244))/365</f>
        <v>66.564383561643837</v>
      </c>
      <c r="M244" s="1" t="s">
        <v>5</v>
      </c>
      <c r="AI244" s="3">
        <v>43893</v>
      </c>
      <c r="AJ244" s="3">
        <v>43927</v>
      </c>
      <c r="FI244" s="2"/>
    </row>
    <row r="245" spans="1:165" ht="12.75" hidden="1" customHeight="1">
      <c r="A245" s="1" t="s">
        <v>34</v>
      </c>
      <c r="B245" s="1" t="s">
        <v>33</v>
      </c>
      <c r="C245" s="1">
        <v>29250318</v>
      </c>
      <c r="D245" s="1">
        <v>1</v>
      </c>
      <c r="E245" s="1">
        <v>1</v>
      </c>
      <c r="G245" s="1">
        <v>1</v>
      </c>
      <c r="H245" s="1" t="s">
        <v>32</v>
      </c>
      <c r="I245" s="3">
        <v>44001</v>
      </c>
      <c r="J245" s="3">
        <v>43980</v>
      </c>
      <c r="K245" s="3">
        <v>19211</v>
      </c>
      <c r="L245" s="5">
        <f>(DAYS360(K245,I245))/365</f>
        <v>66.942465753424656</v>
      </c>
      <c r="M245" s="1" t="s">
        <v>5</v>
      </c>
      <c r="AI245" s="3">
        <v>44001</v>
      </c>
      <c r="AJ245" s="3">
        <v>44032</v>
      </c>
      <c r="CE245" s="1">
        <v>0</v>
      </c>
      <c r="FI245" s="2"/>
    </row>
    <row r="246" spans="1:165" ht="12.75" hidden="1" customHeight="1">
      <c r="A246" s="1" t="s">
        <v>31</v>
      </c>
      <c r="B246" s="1" t="s">
        <v>30</v>
      </c>
      <c r="C246" s="1">
        <v>14215825</v>
      </c>
      <c r="D246" s="1">
        <v>1</v>
      </c>
      <c r="E246" s="1">
        <v>1</v>
      </c>
      <c r="G246" s="1">
        <v>1</v>
      </c>
      <c r="H246" s="1" t="s">
        <v>29</v>
      </c>
      <c r="I246" s="3">
        <v>44078</v>
      </c>
      <c r="J246" s="3">
        <v>44048</v>
      </c>
      <c r="K246" s="3">
        <v>20749</v>
      </c>
      <c r="L246" s="5">
        <f>(DAYS360(K246,I246))/365</f>
        <v>62.994520547945207</v>
      </c>
      <c r="M246" s="1" t="s">
        <v>5</v>
      </c>
      <c r="AI246" s="3">
        <v>44078</v>
      </c>
      <c r="AJ246" s="3">
        <v>44112</v>
      </c>
      <c r="CF246" s="3"/>
      <c r="FI246" s="2"/>
    </row>
    <row r="247" spans="1:165" ht="12.75" hidden="1" customHeight="1">
      <c r="A247" s="1" t="s">
        <v>28</v>
      </c>
      <c r="B247" s="1" t="s">
        <v>27</v>
      </c>
      <c r="C247" s="1">
        <v>54102648</v>
      </c>
      <c r="D247" s="1">
        <v>1</v>
      </c>
      <c r="E247" s="1">
        <v>1</v>
      </c>
      <c r="G247" s="1">
        <v>1</v>
      </c>
      <c r="H247" s="1" t="s">
        <v>26</v>
      </c>
      <c r="I247" s="3">
        <v>44064</v>
      </c>
      <c r="J247" s="3">
        <v>44047</v>
      </c>
      <c r="K247" s="3">
        <v>16572</v>
      </c>
      <c r="L247" s="5">
        <f>(DAYS360(K247,I247))/365</f>
        <v>74.235616438356161</v>
      </c>
      <c r="M247" s="1" t="s">
        <v>5</v>
      </c>
      <c r="AI247" s="3">
        <v>44064</v>
      </c>
      <c r="AJ247" s="3">
        <v>44089</v>
      </c>
      <c r="BP247" s="1">
        <v>0</v>
      </c>
      <c r="CE247" s="1">
        <v>1</v>
      </c>
      <c r="CF247" s="3">
        <v>44243</v>
      </c>
      <c r="CG247" s="7">
        <f>CF247-AJ247</f>
        <v>154</v>
      </c>
      <c r="CH247" s="1" t="s">
        <v>25</v>
      </c>
      <c r="FI247" s="2"/>
    </row>
    <row r="248" spans="1:165" ht="12.75" hidden="1" customHeight="1">
      <c r="A248" s="1" t="s">
        <v>24</v>
      </c>
      <c r="B248" s="1" t="s">
        <v>23</v>
      </c>
      <c r="C248" s="1">
        <v>54091616</v>
      </c>
      <c r="D248" s="1">
        <v>1</v>
      </c>
      <c r="E248" s="1">
        <v>1</v>
      </c>
      <c r="G248" s="1">
        <v>1</v>
      </c>
      <c r="H248" s="1" t="s">
        <v>22</v>
      </c>
      <c r="I248" s="3">
        <v>44134</v>
      </c>
      <c r="J248" s="3">
        <v>44062</v>
      </c>
      <c r="K248" s="3">
        <v>22178</v>
      </c>
      <c r="L248" s="5">
        <f>(DAYS360(K248,I248))/365</f>
        <v>59.290410958904111</v>
      </c>
      <c r="M248" s="1" t="s">
        <v>5</v>
      </c>
      <c r="AI248" s="3">
        <v>44134</v>
      </c>
      <c r="AJ248" s="3">
        <v>44166</v>
      </c>
      <c r="CE248" s="1">
        <v>0</v>
      </c>
      <c r="FI248" s="2"/>
    </row>
    <row r="249" spans="1:165" ht="12.75" hidden="1" customHeight="1">
      <c r="A249" s="1" t="s">
        <v>21</v>
      </c>
      <c r="B249" s="1" t="s">
        <v>20</v>
      </c>
      <c r="C249" s="1">
        <v>54734184</v>
      </c>
      <c r="D249" s="1">
        <v>1</v>
      </c>
      <c r="E249" s="1">
        <v>1</v>
      </c>
      <c r="G249" s="1">
        <v>1</v>
      </c>
      <c r="H249" s="1" t="s">
        <v>19</v>
      </c>
      <c r="I249" s="3">
        <v>44243</v>
      </c>
      <c r="J249" s="3">
        <v>44217</v>
      </c>
      <c r="K249" s="3">
        <v>20967</v>
      </c>
      <c r="L249" s="5">
        <f>(DAYS360(K249,I249))/365</f>
        <v>62.846575342465755</v>
      </c>
      <c r="M249" s="1" t="s">
        <v>5</v>
      </c>
      <c r="O249" s="1">
        <v>2</v>
      </c>
      <c r="R249" s="1" t="s">
        <v>18</v>
      </c>
      <c r="AI249" s="3">
        <v>44243</v>
      </c>
      <c r="AJ249" s="3">
        <v>44273</v>
      </c>
      <c r="CE249" s="1">
        <v>1</v>
      </c>
      <c r="CF249" s="3">
        <v>44315</v>
      </c>
      <c r="CG249" s="7">
        <f>CF249-AJ249</f>
        <v>42</v>
      </c>
      <c r="CH249" s="1" t="s">
        <v>17</v>
      </c>
      <c r="FI249" s="2"/>
    </row>
    <row r="250" spans="1:165" ht="12.75" hidden="1" customHeight="1">
      <c r="A250" s="1" t="s">
        <v>16</v>
      </c>
      <c r="B250" s="1" t="s">
        <v>15</v>
      </c>
      <c r="C250" s="1">
        <v>55464231</v>
      </c>
      <c r="D250" s="1">
        <v>1</v>
      </c>
      <c r="E250" s="1">
        <v>1</v>
      </c>
      <c r="G250" s="1">
        <v>1</v>
      </c>
      <c r="H250" s="1" t="s">
        <v>14</v>
      </c>
      <c r="I250" s="3">
        <v>44420</v>
      </c>
      <c r="J250" s="3">
        <v>44382</v>
      </c>
      <c r="K250" s="3">
        <v>21677</v>
      </c>
      <c r="L250" s="5">
        <f>(DAYS360(K250,I250))/365</f>
        <v>61.410958904109592</v>
      </c>
      <c r="M250" s="1" t="s">
        <v>5</v>
      </c>
      <c r="AI250" s="3">
        <v>44420</v>
      </c>
      <c r="AJ250" s="3">
        <v>44449</v>
      </c>
      <c r="CE250" s="1">
        <v>1</v>
      </c>
      <c r="CF250" s="3">
        <v>44481</v>
      </c>
      <c r="CG250" s="7">
        <f>CF250-AJ250</f>
        <v>32</v>
      </c>
      <c r="CH250" s="1" t="s">
        <v>13</v>
      </c>
      <c r="FI250" s="2"/>
    </row>
    <row r="251" spans="1:165" ht="12.75" hidden="1" customHeight="1">
      <c r="A251" s="1" t="s">
        <v>12</v>
      </c>
      <c r="B251" s="1" t="s">
        <v>11</v>
      </c>
      <c r="C251" s="1">
        <v>55626084</v>
      </c>
      <c r="D251" s="1">
        <v>1</v>
      </c>
      <c r="E251" s="1">
        <v>0</v>
      </c>
      <c r="G251" s="1">
        <v>1</v>
      </c>
      <c r="I251" s="3">
        <v>44428</v>
      </c>
      <c r="J251" s="3">
        <v>44407</v>
      </c>
      <c r="K251" s="3">
        <v>20809</v>
      </c>
      <c r="L251" s="5">
        <f>(DAYS360(K251,I251))/365</f>
        <v>63.780821917808218</v>
      </c>
      <c r="M251" s="1" t="s">
        <v>5</v>
      </c>
      <c r="AI251" s="3">
        <v>44428</v>
      </c>
      <c r="AJ251" s="3">
        <v>44463</v>
      </c>
      <c r="CE251" s="1">
        <v>0</v>
      </c>
      <c r="FI251" s="2"/>
    </row>
    <row r="252" spans="1:165" ht="12.75" hidden="1" customHeight="1">
      <c r="A252" s="1" t="s">
        <v>10</v>
      </c>
      <c r="B252" s="1" t="s">
        <v>9</v>
      </c>
      <c r="C252" s="1">
        <v>56179550</v>
      </c>
      <c r="D252" s="1">
        <v>1</v>
      </c>
      <c r="E252" s="1">
        <v>0</v>
      </c>
      <c r="G252" s="1">
        <v>1</v>
      </c>
      <c r="H252" s="1" t="s">
        <v>8</v>
      </c>
      <c r="I252" s="3">
        <v>44537</v>
      </c>
      <c r="J252" s="3">
        <v>44517</v>
      </c>
      <c r="K252" s="3">
        <v>18096</v>
      </c>
      <c r="L252" s="5">
        <f>(DAYS360(K252,I252))/365</f>
        <v>71.397260273972606</v>
      </c>
      <c r="M252" s="1" t="s">
        <v>5</v>
      </c>
      <c r="AI252" s="3">
        <v>44537</v>
      </c>
      <c r="AJ252" s="3">
        <v>44566</v>
      </c>
      <c r="CE252" s="1">
        <v>0</v>
      </c>
      <c r="FI252" s="2"/>
    </row>
    <row r="253" spans="1:165" ht="12.75" hidden="1" customHeight="1">
      <c r="A253" s="1" t="s">
        <v>7</v>
      </c>
      <c r="B253" s="1" t="s">
        <v>6</v>
      </c>
      <c r="C253" s="1">
        <v>56173792</v>
      </c>
      <c r="D253" s="1">
        <v>1</v>
      </c>
      <c r="E253" s="1">
        <v>0</v>
      </c>
      <c r="G253" s="1">
        <v>1</v>
      </c>
      <c r="I253" s="3">
        <v>44537</v>
      </c>
      <c r="J253" s="3">
        <v>44516</v>
      </c>
      <c r="K253" s="3">
        <v>20909</v>
      </c>
      <c r="L253" s="5">
        <f>(DAYS360(K253,I253))/365</f>
        <v>63.8</v>
      </c>
      <c r="M253" s="9" t="s">
        <v>5</v>
      </c>
      <c r="AI253" s="3">
        <v>44537</v>
      </c>
      <c r="AJ253" s="3">
        <v>44566</v>
      </c>
      <c r="CE253" s="1">
        <v>0</v>
      </c>
      <c r="FI253" s="2"/>
    </row>
    <row r="254" spans="1:165" ht="12.75" hidden="1" customHeight="1">
      <c r="A254" s="1" t="s">
        <v>4</v>
      </c>
      <c r="B254" s="1" t="s">
        <v>3</v>
      </c>
      <c r="C254" s="1">
        <v>71878546</v>
      </c>
      <c r="D254" s="1">
        <v>1</v>
      </c>
      <c r="E254" s="1">
        <v>1</v>
      </c>
      <c r="G254" s="1">
        <v>1</v>
      </c>
      <c r="H254" s="1" t="s">
        <v>2</v>
      </c>
      <c r="I254" s="3">
        <v>44551</v>
      </c>
      <c r="J254" s="3">
        <v>44511</v>
      </c>
      <c r="K254" s="3">
        <v>33926</v>
      </c>
      <c r="L254" s="5">
        <f>(DAYS360(K254,I254))/365</f>
        <v>28.693150684931506</v>
      </c>
      <c r="M254" s="9" t="s">
        <v>1</v>
      </c>
      <c r="AI254" s="3">
        <v>44551</v>
      </c>
      <c r="AJ254" s="3">
        <v>44578</v>
      </c>
      <c r="CE254" s="1">
        <v>1</v>
      </c>
      <c r="CF254" s="3">
        <v>44600</v>
      </c>
      <c r="CG254" s="7">
        <f>CF254-AJ254</f>
        <v>22</v>
      </c>
      <c r="CH254" s="1" t="s">
        <v>0</v>
      </c>
      <c r="FI254" s="2"/>
    </row>
  </sheetData>
  <autoFilter ref="A1:GH254">
    <filterColumn colId="5">
      <filters>
        <filter val="1"/>
      </filters>
    </filterColumn>
    <sortState ref="A67:GH168">
      <sortCondition ref="C1:C254"/>
    </sortState>
  </autoFilter>
  <phoneticPr fontId="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Esophagus_data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2023-06-21T01:34:40Z</dcterms:created>
  <dcterms:modified xsi:type="dcterms:W3CDTF">2023-06-21T02:55:29Z</dcterms:modified>
</cp:coreProperties>
</file>